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O\năm 2022\NK THANG 12\KHO QM- thực phẩm sống\"/>
    </mc:Choice>
  </mc:AlternateContent>
  <bookViews>
    <workbookView xWindow="-120" yWindow="-120" windowWidth="24240" windowHeight="13140" tabRatio="566" firstSheet="11" activeTab="13"/>
  </bookViews>
  <sheets>
    <sheet name="TỒN 1-12-21" sheetId="2" r:id="rId1"/>
    <sheet name="TỒN THÁNG 1-2022" sheetId="3" r:id="rId2"/>
    <sheet name="TỒN THÁNG 2-2022 " sheetId="4" r:id="rId3"/>
    <sheet name="TỒN T2-2022( NEW)" sheetId="5" r:id="rId4"/>
    <sheet name="TỒN T3-2022( NEW) (2)" sheetId="7" r:id="rId5"/>
    <sheet name="TỒN T4-2022" sheetId="9" r:id="rId6"/>
    <sheet name="TỒN T5-2022 " sheetId="10" r:id="rId7"/>
    <sheet name="TỒN NGÀY 12-T5" sheetId="8" r:id="rId8"/>
    <sheet name="TỒN  THÁNG 6" sheetId="11" r:id="rId9"/>
    <sheet name="TỒN  THÁNG 7" sheetId="12" r:id="rId10"/>
    <sheet name="TỒN  THÁNG 8" sheetId="13" r:id="rId11"/>
    <sheet name="TỒN  THÁNG 9" sheetId="15" r:id="rId12"/>
    <sheet name="TỒN T9-ANH NGOC" sheetId="16" r:id="rId13"/>
    <sheet name="NXT T092022" sheetId="17" r:id="rId14"/>
    <sheet name="NXT T102022" sheetId="18" r:id="rId15"/>
    <sheet name="NXT T112022" sheetId="19" r:id="rId16"/>
    <sheet name="NXT T122022" sheetId="20" r:id="rId17"/>
  </sheets>
  <definedNames>
    <definedName name="_xlnm._FilterDatabase" localSheetId="16" hidden="1">'NXT T122022'!$A$1:$N$53</definedName>
    <definedName name="_xlnm._FilterDatabase" localSheetId="3" hidden="1">'TỒN T2-2022( NEW)'!$A$6:$M$27</definedName>
    <definedName name="_xlnm._FilterDatabase" localSheetId="2" hidden="1">'TỒN THÁNG 2-2022 '!$A$5:$M$20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3" i="20" l="1"/>
  <c r="L53" i="20"/>
  <c r="K53" i="20"/>
  <c r="J53" i="20"/>
  <c r="I53" i="20"/>
  <c r="H53" i="20"/>
  <c r="G53" i="20"/>
  <c r="F53" i="20"/>
  <c r="E53" i="20"/>
  <c r="D53" i="20"/>
  <c r="I45" i="20" l="1"/>
  <c r="I44" i="20"/>
  <c r="I39" i="20"/>
  <c r="I4" i="20"/>
  <c r="I41" i="20" l="1"/>
  <c r="I35" i="20" l="1"/>
  <c r="I42" i="20" l="1"/>
  <c r="K47" i="20"/>
  <c r="K48" i="20"/>
  <c r="K49" i="20"/>
  <c r="K50" i="20"/>
  <c r="K51" i="20"/>
  <c r="K52" i="20"/>
  <c r="L46" i="20"/>
  <c r="H52" i="20" l="1"/>
  <c r="M52" i="20"/>
  <c r="L52" i="20"/>
  <c r="L51" i="20" l="1"/>
  <c r="L50" i="20"/>
  <c r="L49" i="20"/>
  <c r="L48" i="20"/>
  <c r="H51" i="20"/>
  <c r="M51" i="20" s="1"/>
  <c r="H50" i="20"/>
  <c r="M50" i="20" s="1"/>
  <c r="H49" i="20"/>
  <c r="M49" i="20" s="1"/>
  <c r="H48" i="20"/>
  <c r="M48" i="20" s="1"/>
  <c r="L47" i="20" l="1"/>
  <c r="H47" i="20"/>
  <c r="M47" i="20" s="1"/>
  <c r="H46" i="20"/>
  <c r="K46" i="20" l="1"/>
  <c r="M46" i="20" s="1"/>
  <c r="I24" i="20" l="1"/>
  <c r="I14" i="20" l="1"/>
  <c r="K45" i="20" l="1"/>
  <c r="L45" i="20" l="1"/>
  <c r="H45" i="20"/>
  <c r="M45" i="20" s="1"/>
  <c r="K44" i="20" l="1"/>
  <c r="K43" i="20"/>
  <c r="H40" i="20"/>
  <c r="H41" i="20"/>
  <c r="H42" i="20"/>
  <c r="H43" i="20"/>
  <c r="H44" i="20"/>
  <c r="H33" i="20"/>
  <c r="H34" i="20"/>
  <c r="H35" i="20"/>
  <c r="H36" i="20"/>
  <c r="H37" i="20"/>
  <c r="H38" i="20"/>
  <c r="H39" i="20"/>
  <c r="E44" i="20"/>
  <c r="D44" i="20"/>
  <c r="L44" i="20" s="1"/>
  <c r="E43" i="20"/>
  <c r="D43" i="20"/>
  <c r="L43" i="20" s="1"/>
  <c r="E42" i="20"/>
  <c r="D42" i="20"/>
  <c r="L42" i="20" s="1"/>
  <c r="E41" i="20"/>
  <c r="D41" i="20"/>
  <c r="E40" i="20"/>
  <c r="D40" i="20"/>
  <c r="L40" i="20" s="1"/>
  <c r="E39" i="20"/>
  <c r="D39" i="20"/>
  <c r="L39" i="20" s="1"/>
  <c r="E38" i="20"/>
  <c r="D38" i="20"/>
  <c r="L38" i="20" s="1"/>
  <c r="E37" i="20"/>
  <c r="D37" i="20"/>
  <c r="L37" i="20" s="1"/>
  <c r="E36" i="20"/>
  <c r="D36" i="20"/>
  <c r="L36" i="20" s="1"/>
  <c r="E35" i="20"/>
  <c r="D35" i="20"/>
  <c r="L35" i="20" s="1"/>
  <c r="E34" i="20"/>
  <c r="M34" i="20" s="1"/>
  <c r="D34" i="20"/>
  <c r="L34" i="20" s="1"/>
  <c r="E33" i="20"/>
  <c r="D33" i="20"/>
  <c r="L33" i="20" s="1"/>
  <c r="E32" i="20"/>
  <c r="D32" i="20"/>
  <c r="L32" i="20" s="1"/>
  <c r="E31" i="20"/>
  <c r="D31" i="20"/>
  <c r="L31" i="20" s="1"/>
  <c r="E30" i="20"/>
  <c r="D30" i="20"/>
  <c r="L30" i="20" s="1"/>
  <c r="E29" i="20"/>
  <c r="D29" i="20"/>
  <c r="E28" i="20"/>
  <c r="D28" i="20"/>
  <c r="L28" i="20" s="1"/>
  <c r="E27" i="20"/>
  <c r="D27" i="20"/>
  <c r="E26" i="20"/>
  <c r="D26" i="20"/>
  <c r="L26" i="20" s="1"/>
  <c r="E25" i="20"/>
  <c r="D25" i="20"/>
  <c r="L25" i="20" s="1"/>
  <c r="E24" i="20"/>
  <c r="D24" i="20"/>
  <c r="L24" i="20" s="1"/>
  <c r="E23" i="20"/>
  <c r="D23" i="20"/>
  <c r="L23" i="20" s="1"/>
  <c r="E22" i="20"/>
  <c r="D22" i="20"/>
  <c r="L22" i="20" s="1"/>
  <c r="E21" i="20"/>
  <c r="D21" i="20"/>
  <c r="E20" i="20"/>
  <c r="D20" i="20"/>
  <c r="L20" i="20" s="1"/>
  <c r="E19" i="20"/>
  <c r="D19" i="20"/>
  <c r="E18" i="20"/>
  <c r="D18" i="20"/>
  <c r="L18" i="20" s="1"/>
  <c r="E17" i="20"/>
  <c r="D17" i="20"/>
  <c r="L17" i="20" s="1"/>
  <c r="E16" i="20"/>
  <c r="D16" i="20"/>
  <c r="L16" i="20" s="1"/>
  <c r="E15" i="20"/>
  <c r="D15" i="20"/>
  <c r="E14" i="20"/>
  <c r="D14" i="20"/>
  <c r="L14" i="20" s="1"/>
  <c r="E13" i="20"/>
  <c r="D13" i="20"/>
  <c r="L13" i="20" s="1"/>
  <c r="E12" i="20"/>
  <c r="D12" i="20"/>
  <c r="L12" i="20" s="1"/>
  <c r="E11" i="20"/>
  <c r="D11" i="20"/>
  <c r="E10" i="20"/>
  <c r="D10" i="20"/>
  <c r="L10" i="20" s="1"/>
  <c r="E9" i="20"/>
  <c r="E8" i="20"/>
  <c r="D9" i="20"/>
  <c r="D8" i="20"/>
  <c r="L8" i="20" s="1"/>
  <c r="E7" i="20"/>
  <c r="D7" i="20"/>
  <c r="L7" i="20" s="1"/>
  <c r="E6" i="20"/>
  <c r="D6" i="20"/>
  <c r="L6" i="20" s="1"/>
  <c r="E5" i="20"/>
  <c r="D5" i="20"/>
  <c r="L5" i="19"/>
  <c r="E4" i="20"/>
  <c r="D4" i="20"/>
  <c r="K42" i="20"/>
  <c r="K41" i="20"/>
  <c r="K40" i="20"/>
  <c r="K39" i="20"/>
  <c r="K38" i="20"/>
  <c r="K37" i="20"/>
  <c r="K36" i="20"/>
  <c r="K35" i="20"/>
  <c r="K34" i="20"/>
  <c r="K33" i="20"/>
  <c r="K32" i="20"/>
  <c r="H32" i="20"/>
  <c r="K31" i="20"/>
  <c r="H31" i="20"/>
  <c r="K30" i="20"/>
  <c r="H30" i="20"/>
  <c r="K29" i="20"/>
  <c r="H29" i="20"/>
  <c r="K28" i="20"/>
  <c r="H28" i="20"/>
  <c r="K27" i="20"/>
  <c r="H27" i="20"/>
  <c r="K26" i="20"/>
  <c r="H26" i="20"/>
  <c r="K25" i="20"/>
  <c r="H25" i="20"/>
  <c r="K24" i="20"/>
  <c r="H24" i="20"/>
  <c r="K23" i="20"/>
  <c r="H23" i="20"/>
  <c r="K22" i="20"/>
  <c r="H22" i="20"/>
  <c r="K21" i="20"/>
  <c r="H21" i="20"/>
  <c r="K20" i="20"/>
  <c r="H20" i="20"/>
  <c r="K19" i="20"/>
  <c r="H19" i="20"/>
  <c r="K18" i="20"/>
  <c r="H18" i="20"/>
  <c r="K17" i="20"/>
  <c r="H17" i="20"/>
  <c r="K16" i="20"/>
  <c r="H16" i="20"/>
  <c r="K15" i="20"/>
  <c r="H15" i="20"/>
  <c r="K14" i="20"/>
  <c r="H14" i="20"/>
  <c r="K13" i="20"/>
  <c r="H13" i="20"/>
  <c r="K12" i="20"/>
  <c r="H12" i="20"/>
  <c r="K11" i="20"/>
  <c r="H11" i="20"/>
  <c r="K10" i="20"/>
  <c r="H10" i="20"/>
  <c r="K9" i="20"/>
  <c r="H9" i="20"/>
  <c r="K8" i="20"/>
  <c r="H8" i="20"/>
  <c r="K7" i="20"/>
  <c r="K6" i="20"/>
  <c r="K5" i="20"/>
  <c r="K4" i="20"/>
  <c r="L4" i="20" l="1"/>
  <c r="M11" i="20"/>
  <c r="M29" i="20"/>
  <c r="M33" i="20"/>
  <c r="M19" i="20"/>
  <c r="M38" i="20"/>
  <c r="M44" i="20"/>
  <c r="M9" i="20"/>
  <c r="M15" i="20"/>
  <c r="M21" i="20"/>
  <c r="M27" i="20"/>
  <c r="M42" i="20"/>
  <c r="M40" i="20"/>
  <c r="M41" i="20"/>
  <c r="M43" i="20"/>
  <c r="M35" i="20"/>
  <c r="M7" i="20"/>
  <c r="M17" i="20"/>
  <c r="M25" i="20"/>
  <c r="M31" i="20"/>
  <c r="L9" i="20"/>
  <c r="L15" i="20"/>
  <c r="L21" i="20"/>
  <c r="L27" i="20"/>
  <c r="L29" i="20"/>
  <c r="M39" i="20"/>
  <c r="L41" i="20"/>
  <c r="M5" i="20"/>
  <c r="M23" i="20"/>
  <c r="L5" i="20"/>
  <c r="L11" i="20"/>
  <c r="M37" i="20"/>
  <c r="M6" i="20"/>
  <c r="M8" i="20"/>
  <c r="M10" i="20"/>
  <c r="M12" i="20"/>
  <c r="M14" i="20"/>
  <c r="M16" i="20"/>
  <c r="M18" i="20"/>
  <c r="M20" i="20"/>
  <c r="M22" i="20"/>
  <c r="M24" i="20"/>
  <c r="M26" i="20"/>
  <c r="M28" i="20"/>
  <c r="M30" i="20"/>
  <c r="M32" i="20"/>
  <c r="M13" i="20"/>
  <c r="M36" i="20"/>
  <c r="L19" i="20"/>
  <c r="F39" i="19"/>
  <c r="L44" i="19"/>
  <c r="H44" i="19"/>
  <c r="M44" i="19"/>
  <c r="F38" i="19"/>
  <c r="F37" i="19"/>
  <c r="F36" i="19"/>
  <c r="F40" i="19"/>
  <c r="M43" i="19"/>
  <c r="L43" i="19"/>
  <c r="H43" i="19"/>
  <c r="F41" i="19"/>
  <c r="F42" i="19"/>
  <c r="M4" i="20" l="1"/>
  <c r="M42" i="19"/>
  <c r="L42" i="19"/>
  <c r="K42" i="19"/>
  <c r="H42" i="19"/>
  <c r="K41" i="19"/>
  <c r="L41" i="19"/>
  <c r="H41" i="19"/>
  <c r="M41" i="19" s="1"/>
  <c r="L40" i="19"/>
  <c r="K40" i="19"/>
  <c r="H40" i="19"/>
  <c r="M40" i="19" s="1"/>
  <c r="K39" i="19" l="1"/>
  <c r="L39" i="19"/>
  <c r="K38" i="19"/>
  <c r="L38" i="19"/>
  <c r="K37" i="19"/>
  <c r="L37" i="19"/>
  <c r="K36" i="19"/>
  <c r="L36" i="19"/>
  <c r="K35" i="19"/>
  <c r="L35" i="19"/>
  <c r="M35" i="19"/>
  <c r="H39" i="19"/>
  <c r="M39" i="19" s="1"/>
  <c r="H38" i="19"/>
  <c r="M38" i="19" s="1"/>
  <c r="H37" i="19"/>
  <c r="M37" i="19" s="1"/>
  <c r="H36" i="19"/>
  <c r="M36" i="19" s="1"/>
  <c r="H35" i="19"/>
  <c r="M34" i="19" l="1"/>
  <c r="M33" i="19"/>
  <c r="L34" i="19"/>
  <c r="L33" i="19"/>
  <c r="H30" i="19"/>
  <c r="H31" i="19"/>
  <c r="H32" i="19"/>
  <c r="H33" i="19"/>
  <c r="H34" i="19"/>
  <c r="D32" i="19"/>
  <c r="E32" i="19" s="1"/>
  <c r="D31" i="19"/>
  <c r="L31" i="19" s="1"/>
  <c r="M34" i="18"/>
  <c r="M33" i="18"/>
  <c r="M32" i="18"/>
  <c r="L34" i="18"/>
  <c r="L33" i="18"/>
  <c r="L32" i="18"/>
  <c r="D30" i="19"/>
  <c r="L30" i="19" s="1"/>
  <c r="D29" i="19"/>
  <c r="L29" i="19" s="1"/>
  <c r="D28" i="19"/>
  <c r="L28" i="19" s="1"/>
  <c r="D27" i="19"/>
  <c r="L27" i="19" s="1"/>
  <c r="D26" i="19"/>
  <c r="E26" i="19" s="1"/>
  <c r="M26" i="19" s="1"/>
  <c r="D25" i="19"/>
  <c r="L25" i="19" s="1"/>
  <c r="D24" i="19"/>
  <c r="E24" i="19" s="1"/>
  <c r="M24" i="19" s="1"/>
  <c r="D23" i="19"/>
  <c r="E23" i="19" s="1"/>
  <c r="D22" i="19"/>
  <c r="L22" i="19" s="1"/>
  <c r="D21" i="19"/>
  <c r="E21" i="19" s="1"/>
  <c r="D20" i="19"/>
  <c r="E20" i="19" s="1"/>
  <c r="D19" i="19"/>
  <c r="E19" i="19" s="1"/>
  <c r="D18" i="19"/>
  <c r="L18" i="19" s="1"/>
  <c r="D17" i="19"/>
  <c r="L17" i="19" s="1"/>
  <c r="D16" i="19"/>
  <c r="E16" i="19" s="1"/>
  <c r="M16" i="19" s="1"/>
  <c r="D15" i="19"/>
  <c r="L15" i="19" s="1"/>
  <c r="D14" i="19"/>
  <c r="L14" i="19" s="1"/>
  <c r="D13" i="19"/>
  <c r="E13" i="19" s="1"/>
  <c r="M13" i="19" s="1"/>
  <c r="D12" i="19"/>
  <c r="L12" i="19" s="1"/>
  <c r="D11" i="19"/>
  <c r="L11" i="19" s="1"/>
  <c r="D10" i="19"/>
  <c r="L10" i="19" s="1"/>
  <c r="D9" i="19"/>
  <c r="E9" i="19" s="1"/>
  <c r="D8" i="19"/>
  <c r="E8" i="19" s="1"/>
  <c r="M8" i="19" s="1"/>
  <c r="D7" i="19"/>
  <c r="E7" i="19" s="1"/>
  <c r="D6" i="19"/>
  <c r="E6" i="19" s="1"/>
  <c r="D5" i="19"/>
  <c r="E5" i="19" s="1"/>
  <c r="M5" i="19" s="1"/>
  <c r="D4" i="19"/>
  <c r="L4" i="19" s="1"/>
  <c r="J45" i="19"/>
  <c r="G45" i="19"/>
  <c r="K34" i="19"/>
  <c r="K33" i="19"/>
  <c r="K32" i="19"/>
  <c r="K31" i="19"/>
  <c r="F45" i="19"/>
  <c r="K30" i="19"/>
  <c r="K29" i="19"/>
  <c r="H29" i="19"/>
  <c r="K28" i="19"/>
  <c r="H28" i="19"/>
  <c r="K27" i="19"/>
  <c r="H27" i="19"/>
  <c r="K26" i="19"/>
  <c r="H26" i="19"/>
  <c r="K25" i="19"/>
  <c r="H25" i="19"/>
  <c r="K24" i="19"/>
  <c r="H24" i="19"/>
  <c r="K23" i="19"/>
  <c r="H23" i="19"/>
  <c r="K22" i="19"/>
  <c r="H22" i="19"/>
  <c r="K21" i="19"/>
  <c r="H21" i="19"/>
  <c r="K20" i="19"/>
  <c r="H20" i="19"/>
  <c r="K19" i="19"/>
  <c r="H19" i="19"/>
  <c r="K18" i="19"/>
  <c r="H18" i="19"/>
  <c r="K17" i="19"/>
  <c r="H17" i="19"/>
  <c r="K16" i="19"/>
  <c r="H16" i="19"/>
  <c r="K15" i="19"/>
  <c r="H15" i="19"/>
  <c r="K14" i="19"/>
  <c r="H14" i="19"/>
  <c r="K13" i="19"/>
  <c r="H13" i="19"/>
  <c r="K12" i="19"/>
  <c r="H12" i="19"/>
  <c r="K11" i="19"/>
  <c r="H11" i="19"/>
  <c r="K10" i="19"/>
  <c r="H10" i="19"/>
  <c r="K9" i="19"/>
  <c r="H9" i="19"/>
  <c r="L8" i="19"/>
  <c r="K8" i="19"/>
  <c r="H8" i="19"/>
  <c r="K7" i="19"/>
  <c r="H7" i="19"/>
  <c r="K6" i="19"/>
  <c r="H6" i="19"/>
  <c r="K5" i="19"/>
  <c r="H5" i="19"/>
  <c r="I45" i="19"/>
  <c r="H4" i="19"/>
  <c r="L19" i="19" l="1"/>
  <c r="E10" i="19"/>
  <c r="M10" i="19" s="1"/>
  <c r="L21" i="19"/>
  <c r="E12" i="19"/>
  <c r="M12" i="19" s="1"/>
  <c r="L32" i="19"/>
  <c r="E27" i="19"/>
  <c r="L23" i="19"/>
  <c r="E22" i="19"/>
  <c r="M22" i="19" s="1"/>
  <c r="M27" i="19"/>
  <c r="E25" i="19"/>
  <c r="M25" i="19" s="1"/>
  <c r="M9" i="19"/>
  <c r="E30" i="19"/>
  <c r="M30" i="19" s="1"/>
  <c r="L6" i="19"/>
  <c r="E4" i="19"/>
  <c r="E18" i="19"/>
  <c r="M18" i="19" s="1"/>
  <c r="E29" i="19"/>
  <c r="M29" i="19" s="1"/>
  <c r="E17" i="19"/>
  <c r="M17" i="19" s="1"/>
  <c r="M32" i="19"/>
  <c r="M7" i="19"/>
  <c r="L16" i="19"/>
  <c r="E28" i="19"/>
  <c r="M28" i="19" s="1"/>
  <c r="E15" i="19"/>
  <c r="M15" i="19" s="1"/>
  <c r="L26" i="19"/>
  <c r="E14" i="19"/>
  <c r="M14" i="19" s="1"/>
  <c r="E11" i="19"/>
  <c r="M11" i="19" s="1"/>
  <c r="E31" i="19"/>
  <c r="M31" i="19" s="1"/>
  <c r="M6" i="19"/>
  <c r="D45" i="19"/>
  <c r="M20" i="19"/>
  <c r="L20" i="19"/>
  <c r="L24" i="19"/>
  <c r="M19" i="19"/>
  <c r="L7" i="19"/>
  <c r="L9" i="19"/>
  <c r="L13" i="19"/>
  <c r="M21" i="19"/>
  <c r="M23" i="19"/>
  <c r="K4" i="19"/>
  <c r="K45" i="19" s="1"/>
  <c r="K34" i="18"/>
  <c r="K33" i="18"/>
  <c r="K32" i="18"/>
  <c r="H34" i="18"/>
  <c r="L45" i="19" l="1"/>
  <c r="H45" i="19"/>
  <c r="M4" i="19"/>
  <c r="M45" i="19" s="1"/>
  <c r="E45" i="19"/>
  <c r="I24" i="18"/>
  <c r="I4" i="18"/>
  <c r="I14" i="18"/>
  <c r="I17" i="18"/>
  <c r="H33" i="18" l="1"/>
  <c r="H32" i="18" l="1"/>
  <c r="F31" i="18" l="1"/>
  <c r="E32" i="18" l="1"/>
  <c r="I20" i="18" l="1"/>
  <c r="I31" i="18"/>
  <c r="I7" i="18"/>
  <c r="H18" i="18" l="1"/>
  <c r="H19" i="18"/>
  <c r="H20" i="18"/>
  <c r="H21" i="18"/>
  <c r="H22" i="18"/>
  <c r="H23" i="18"/>
  <c r="H24" i="18"/>
  <c r="H25" i="18"/>
  <c r="H26" i="18"/>
  <c r="H27" i="18"/>
  <c r="H28" i="18"/>
  <c r="H29" i="18"/>
  <c r="I5" i="18"/>
  <c r="K24" i="18" l="1"/>
  <c r="K25" i="18"/>
  <c r="K26" i="18"/>
  <c r="K27" i="18"/>
  <c r="K28" i="18"/>
  <c r="K29" i="18"/>
  <c r="K30" i="18"/>
  <c r="E30" i="18"/>
  <c r="E31" i="18"/>
  <c r="D17" i="18"/>
  <c r="L17" i="18" s="1"/>
  <c r="D16" i="18"/>
  <c r="L16" i="18" s="1"/>
  <c r="D15" i="18"/>
  <c r="L15" i="18" s="1"/>
  <c r="D14" i="18"/>
  <c r="L14" i="18" s="1"/>
  <c r="D13" i="18"/>
  <c r="E13" i="18" s="1"/>
  <c r="D12" i="18"/>
  <c r="L12" i="18" s="1"/>
  <c r="D11" i="18"/>
  <c r="L11" i="18" s="1"/>
  <c r="D10" i="18"/>
  <c r="E10" i="18" s="1"/>
  <c r="D9" i="18"/>
  <c r="E9" i="18" s="1"/>
  <c r="D8" i="18"/>
  <c r="L8" i="18" s="1"/>
  <c r="D5" i="18"/>
  <c r="E5" i="18" s="1"/>
  <c r="D7" i="18"/>
  <c r="L7" i="18" s="1"/>
  <c r="D6" i="18"/>
  <c r="L6" i="18" s="1"/>
  <c r="D4" i="18"/>
  <c r="E4" i="18" s="1"/>
  <c r="D29" i="18"/>
  <c r="E29" i="18" s="1"/>
  <c r="D28" i="18"/>
  <c r="E28" i="18" s="1"/>
  <c r="M28" i="18" s="1"/>
  <c r="D27" i="18"/>
  <c r="L27" i="18" s="1"/>
  <c r="D26" i="18"/>
  <c r="L26" i="18" s="1"/>
  <c r="D25" i="18"/>
  <c r="E25" i="18" s="1"/>
  <c r="D24" i="18"/>
  <c r="L24" i="18" s="1"/>
  <c r="D23" i="18"/>
  <c r="L23" i="18" s="1"/>
  <c r="D22" i="18"/>
  <c r="L22" i="18" s="1"/>
  <c r="D21" i="18"/>
  <c r="L21" i="18" s="1"/>
  <c r="D20" i="18"/>
  <c r="L20" i="18" s="1"/>
  <c r="D19" i="18"/>
  <c r="E19" i="18" s="1"/>
  <c r="D18" i="18"/>
  <c r="L18" i="18" s="1"/>
  <c r="L31" i="18"/>
  <c r="K31" i="18"/>
  <c r="H31" i="18"/>
  <c r="L30" i="18"/>
  <c r="H30" i="18"/>
  <c r="F35" i="18"/>
  <c r="K23" i="18"/>
  <c r="G35" i="18"/>
  <c r="K22" i="18"/>
  <c r="K21" i="18"/>
  <c r="K19" i="18"/>
  <c r="K18" i="18"/>
  <c r="H17" i="18"/>
  <c r="K16" i="18"/>
  <c r="H16" i="18"/>
  <c r="K15" i="18"/>
  <c r="H15" i="18"/>
  <c r="H14" i="18"/>
  <c r="K13" i="18"/>
  <c r="H13" i="18"/>
  <c r="K12" i="18"/>
  <c r="H12" i="18"/>
  <c r="K11" i="18"/>
  <c r="H11" i="18"/>
  <c r="K10" i="18"/>
  <c r="H10" i="18"/>
  <c r="K9" i="18"/>
  <c r="H9" i="18"/>
  <c r="K8" i="18"/>
  <c r="H8" i="18"/>
  <c r="K7" i="18"/>
  <c r="H7" i="18"/>
  <c r="K6" i="18"/>
  <c r="H6" i="18"/>
  <c r="K5" i="18"/>
  <c r="I35" i="18"/>
  <c r="H5" i="18"/>
  <c r="K4" i="18"/>
  <c r="H4" i="18"/>
  <c r="H29" i="17"/>
  <c r="M29" i="18" l="1"/>
  <c r="L29" i="18"/>
  <c r="M30" i="18"/>
  <c r="M10" i="18"/>
  <c r="E23" i="18"/>
  <c r="M23" i="18" s="1"/>
  <c r="L25" i="18"/>
  <c r="E21" i="18"/>
  <c r="M21" i="18" s="1"/>
  <c r="L28" i="18"/>
  <c r="L4" i="18"/>
  <c r="E22" i="18"/>
  <c r="M22" i="18" s="1"/>
  <c r="E20" i="18"/>
  <c r="L19" i="18"/>
  <c r="E27" i="18"/>
  <c r="M27" i="18" s="1"/>
  <c r="E26" i="18"/>
  <c r="M26" i="18" s="1"/>
  <c r="E18" i="18"/>
  <c r="M18" i="18" s="1"/>
  <c r="M25" i="18"/>
  <c r="E24" i="18"/>
  <c r="M24" i="18" s="1"/>
  <c r="M4" i="18"/>
  <c r="M31" i="18"/>
  <c r="M13" i="18"/>
  <c r="H35" i="18"/>
  <c r="M19" i="18"/>
  <c r="E17" i="18"/>
  <c r="E16" i="18"/>
  <c r="M16" i="18" s="1"/>
  <c r="E15" i="18"/>
  <c r="M15" i="18" s="1"/>
  <c r="E14" i="18"/>
  <c r="L13" i="18"/>
  <c r="E12" i="18"/>
  <c r="M12" i="18" s="1"/>
  <c r="E11" i="18"/>
  <c r="M11" i="18" s="1"/>
  <c r="L9" i="18"/>
  <c r="E8" i="18"/>
  <c r="M8" i="18" s="1"/>
  <c r="E7" i="18"/>
  <c r="M7" i="18" s="1"/>
  <c r="E6" i="18"/>
  <c r="L5" i="18"/>
  <c r="M9" i="18"/>
  <c r="D35" i="18"/>
  <c r="K20" i="18"/>
  <c r="L10" i="18"/>
  <c r="K14" i="18"/>
  <c r="J35" i="18"/>
  <c r="M5" i="18"/>
  <c r="K17" i="18"/>
  <c r="L10" i="17"/>
  <c r="M20" i="18" l="1"/>
  <c r="M17" i="18"/>
  <c r="L35" i="18"/>
  <c r="M14" i="18"/>
  <c r="E35" i="18"/>
  <c r="M6" i="18"/>
  <c r="K35" i="18"/>
  <c r="F28" i="17"/>
  <c r="M35" i="18" l="1"/>
  <c r="I20" i="17"/>
  <c r="I5" i="17"/>
  <c r="I24" i="17"/>
  <c r="I14" i="17"/>
  <c r="I17" i="17"/>
  <c r="I10" i="17"/>
  <c r="M26" i="17" l="1"/>
  <c r="M30" i="17"/>
  <c r="M31" i="17"/>
  <c r="L26" i="17"/>
  <c r="L27" i="17"/>
  <c r="L28" i="17"/>
  <c r="L29" i="17"/>
  <c r="L30" i="17"/>
  <c r="L31" i="17"/>
  <c r="H26" i="17"/>
  <c r="H27" i="17"/>
  <c r="M27" i="17" s="1"/>
  <c r="H28" i="17"/>
  <c r="M28" i="17" s="1"/>
  <c r="M29" i="17"/>
  <c r="H30" i="17"/>
  <c r="H31" i="17"/>
  <c r="I8" i="17" l="1"/>
  <c r="J20" i="17"/>
  <c r="I7" i="17"/>
  <c r="I11" i="17"/>
  <c r="J12" i="17"/>
  <c r="J7" i="17"/>
  <c r="J8" i="17"/>
  <c r="J9" i="17"/>
  <c r="J5" i="17"/>
  <c r="J6" i="17"/>
  <c r="I19" i="17"/>
  <c r="J14" i="17"/>
  <c r="J11" i="17"/>
  <c r="J19" i="17"/>
  <c r="J10" i="17"/>
  <c r="F32" i="17" l="1"/>
  <c r="I32" i="17"/>
  <c r="D32" i="17"/>
  <c r="H25" i="17"/>
  <c r="M25" i="17" s="1"/>
  <c r="L24" i="17"/>
  <c r="M24" i="17"/>
  <c r="L25" i="17"/>
  <c r="G24" i="17"/>
  <c r="J24" i="17" s="1"/>
  <c r="J32" i="17" s="1"/>
  <c r="G23" i="17"/>
  <c r="L5" i="17"/>
  <c r="L6" i="17"/>
  <c r="L7" i="17"/>
  <c r="L8" i="17"/>
  <c r="L9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M23" i="17" s="1"/>
  <c r="K31" i="17"/>
  <c r="K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E17" i="17"/>
  <c r="E16" i="17"/>
  <c r="E15" i="17"/>
  <c r="E14" i="17"/>
  <c r="E13" i="17"/>
  <c r="E12" i="17"/>
  <c r="E11" i="17"/>
  <c r="E10" i="17"/>
  <c r="E9" i="17"/>
  <c r="E8" i="17"/>
  <c r="E7" i="17"/>
  <c r="E6" i="17"/>
  <c r="M6" i="17" s="1"/>
  <c r="E5" i="17"/>
  <c r="H4" i="17"/>
  <c r="E4" i="17"/>
  <c r="M21" i="17" l="1"/>
  <c r="M18" i="17"/>
  <c r="M9" i="17"/>
  <c r="M12" i="17"/>
  <c r="M5" i="17"/>
  <c r="M11" i="17"/>
  <c r="M10" i="17"/>
  <c r="M13" i="17"/>
  <c r="M15" i="17"/>
  <c r="M14" i="17"/>
  <c r="M4" i="17"/>
  <c r="H32" i="17"/>
  <c r="M16" i="17"/>
  <c r="K32" i="17"/>
  <c r="G32" i="17"/>
  <c r="M7" i="17"/>
  <c r="M17" i="17"/>
  <c r="M8" i="17"/>
  <c r="M20" i="17"/>
  <c r="M22" i="17"/>
  <c r="M19" i="17"/>
  <c r="L32" i="17"/>
  <c r="E32" i="17"/>
  <c r="I43" i="13"/>
  <c r="M32" i="17" l="1"/>
  <c r="D27" i="16"/>
  <c r="F27" i="16"/>
  <c r="I27" i="16"/>
  <c r="L21" i="16"/>
  <c r="L22" i="16"/>
  <c r="M21" i="16"/>
  <c r="L25" i="16"/>
  <c r="L24" i="16"/>
  <c r="L23" i="16"/>
  <c r="K25" i="16"/>
  <c r="E25" i="16"/>
  <c r="H25" i="16"/>
  <c r="K37" i="15" l="1"/>
  <c r="M40" i="15"/>
  <c r="M41" i="15"/>
  <c r="M42" i="15"/>
  <c r="L40" i="15"/>
  <c r="L41" i="15"/>
  <c r="L42" i="15"/>
  <c r="E22" i="16"/>
  <c r="E23" i="16"/>
  <c r="K21" i="16" l="1"/>
  <c r="K23" i="16" l="1"/>
  <c r="K24" i="16"/>
  <c r="K22" i="16"/>
  <c r="K27" i="16" s="1"/>
  <c r="H23" i="16"/>
  <c r="H24" i="16"/>
  <c r="H22" i="16"/>
  <c r="K41" i="15"/>
  <c r="K42" i="15"/>
  <c r="K40" i="15"/>
  <c r="H40" i="15"/>
  <c r="F43" i="15"/>
  <c r="H43" i="15"/>
  <c r="H42" i="15"/>
  <c r="H41" i="15"/>
  <c r="E24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6" i="16"/>
  <c r="H27" i="16" l="1"/>
  <c r="L7" i="16"/>
  <c r="M7" i="16" s="1"/>
  <c r="L8" i="16"/>
  <c r="M8" i="16" s="1"/>
  <c r="L9" i="16"/>
  <c r="M9" i="16" s="1"/>
  <c r="L10" i="16"/>
  <c r="M10" i="16" s="1"/>
  <c r="L11" i="16"/>
  <c r="M11" i="16" s="1"/>
  <c r="L12" i="16"/>
  <c r="M12" i="16" s="1"/>
  <c r="L13" i="16"/>
  <c r="M13" i="16" s="1"/>
  <c r="L14" i="16"/>
  <c r="M14" i="16" s="1"/>
  <c r="L15" i="16"/>
  <c r="M15" i="16" s="1"/>
  <c r="L16" i="16"/>
  <c r="M16" i="16" s="1"/>
  <c r="L17" i="16"/>
  <c r="M17" i="16" s="1"/>
  <c r="L18" i="16"/>
  <c r="M18" i="16" s="1"/>
  <c r="L19" i="16"/>
  <c r="M19" i="16" s="1"/>
  <c r="L20" i="16"/>
  <c r="M20" i="16" s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6" i="16"/>
  <c r="L6" i="16"/>
  <c r="E27" i="16" l="1"/>
  <c r="M6" i="16"/>
  <c r="M27" i="16" s="1"/>
  <c r="L27" i="16"/>
  <c r="I43" i="15"/>
  <c r="L39" i="15"/>
  <c r="M39" i="15" s="1"/>
  <c r="H39" i="15"/>
  <c r="L38" i="15"/>
  <c r="M38" i="15" s="1"/>
  <c r="L37" i="15"/>
  <c r="H37" i="15"/>
  <c r="M37" i="15" s="1"/>
  <c r="M43" i="15" s="1"/>
  <c r="L36" i="15"/>
  <c r="K36" i="15"/>
  <c r="H36" i="15"/>
  <c r="M36" i="15" s="1"/>
  <c r="L35" i="15"/>
  <c r="K35" i="15"/>
  <c r="H35" i="15"/>
  <c r="M35" i="15" s="1"/>
  <c r="M34" i="15"/>
  <c r="L34" i="15"/>
  <c r="M33" i="15"/>
  <c r="L33" i="15"/>
  <c r="M32" i="15"/>
  <c r="L32" i="15"/>
  <c r="L43" i="15" s="1"/>
  <c r="M31" i="15"/>
  <c r="L31" i="15"/>
  <c r="M30" i="15"/>
  <c r="L30" i="15"/>
  <c r="L29" i="15"/>
  <c r="K29" i="15"/>
  <c r="M29" i="15" s="1"/>
  <c r="K28" i="15"/>
  <c r="L28" i="15"/>
  <c r="L27" i="15"/>
  <c r="H27" i="15"/>
  <c r="L26" i="15"/>
  <c r="K26" i="15"/>
  <c r="M26" i="15" s="1"/>
  <c r="H26" i="15"/>
  <c r="L25" i="15"/>
  <c r="K25" i="15"/>
  <c r="M25" i="15" s="1"/>
  <c r="H25" i="15"/>
  <c r="L24" i="15"/>
  <c r="K24" i="15"/>
  <c r="M24" i="15" s="1"/>
  <c r="L23" i="15"/>
  <c r="L22" i="15"/>
  <c r="K22" i="15"/>
  <c r="M22" i="15" s="1"/>
  <c r="L21" i="15"/>
  <c r="K21" i="15"/>
  <c r="H21" i="15"/>
  <c r="M21" i="15" s="1"/>
  <c r="L20" i="15"/>
  <c r="H20" i="15"/>
  <c r="L19" i="15"/>
  <c r="K19" i="15"/>
  <c r="H19" i="15"/>
  <c r="M19" i="15" s="1"/>
  <c r="L18" i="15"/>
  <c r="K18" i="15"/>
  <c r="H18" i="15"/>
  <c r="M18" i="15" s="1"/>
  <c r="K17" i="15"/>
  <c r="H17" i="15"/>
  <c r="M17" i="15" s="1"/>
  <c r="K16" i="15"/>
  <c r="H16" i="15"/>
  <c r="M16" i="15" s="1"/>
  <c r="L15" i="15"/>
  <c r="K15" i="15"/>
  <c r="M15" i="15" s="1"/>
  <c r="L14" i="15"/>
  <c r="K14" i="15"/>
  <c r="M14" i="15" s="1"/>
  <c r="L13" i="15"/>
  <c r="K13" i="15"/>
  <c r="H13" i="15"/>
  <c r="M12" i="15"/>
  <c r="L12" i="15"/>
  <c r="K12" i="15"/>
  <c r="M11" i="15"/>
  <c r="L11" i="15"/>
  <c r="L10" i="15"/>
  <c r="L9" i="15"/>
  <c r="K9" i="15"/>
  <c r="L8" i="15"/>
  <c r="K8" i="15"/>
  <c r="M8" i="15" s="1"/>
  <c r="K40" i="13"/>
  <c r="I40" i="13"/>
  <c r="G40" i="13"/>
  <c r="J40" i="13"/>
  <c r="H40" i="13"/>
  <c r="D40" i="13"/>
  <c r="F40" i="13"/>
  <c r="K39" i="13"/>
  <c r="J39" i="13"/>
  <c r="G39" i="13"/>
  <c r="H25" i="13"/>
  <c r="H10" i="13"/>
  <c r="H22" i="13"/>
  <c r="H23" i="13"/>
  <c r="K11" i="13"/>
  <c r="I11" i="13"/>
  <c r="H11" i="13"/>
  <c r="H20" i="13"/>
  <c r="H27" i="13"/>
  <c r="K11" i="15" l="1"/>
  <c r="K43" i="15" s="1"/>
  <c r="H38" i="15"/>
  <c r="K27" i="15"/>
  <c r="M27" i="15" s="1"/>
  <c r="M9" i="15"/>
  <c r="H28" i="15"/>
  <c r="M28" i="15" s="1"/>
  <c r="K10" i="15"/>
  <c r="M10" i="15" s="1"/>
  <c r="K20" i="15"/>
  <c r="M20" i="15" s="1"/>
  <c r="K23" i="15"/>
  <c r="M23" i="15" s="1"/>
  <c r="M13" i="15"/>
  <c r="H26" i="13"/>
  <c r="F38" i="13"/>
  <c r="J38" i="13" s="1"/>
  <c r="K38" i="13" s="1"/>
  <c r="F28" i="13"/>
  <c r="H28" i="13"/>
  <c r="I20" i="13"/>
  <c r="G38" i="13" l="1"/>
  <c r="I37" i="13"/>
  <c r="J27" i="13"/>
  <c r="G28" i="13"/>
  <c r="J37" i="13"/>
  <c r="G37" i="13"/>
  <c r="J36" i="13"/>
  <c r="I36" i="13"/>
  <c r="G36" i="13"/>
  <c r="J35" i="13"/>
  <c r="I35" i="13"/>
  <c r="G35" i="13"/>
  <c r="K34" i="13"/>
  <c r="J34" i="13"/>
  <c r="K33" i="13"/>
  <c r="J33" i="13"/>
  <c r="K32" i="13"/>
  <c r="J32" i="13"/>
  <c r="K31" i="13"/>
  <c r="J31" i="13"/>
  <c r="K30" i="13"/>
  <c r="J30" i="13"/>
  <c r="J29" i="13"/>
  <c r="I29" i="13"/>
  <c r="K29" i="13" s="1"/>
  <c r="J28" i="13"/>
  <c r="I28" i="13"/>
  <c r="G27" i="13"/>
  <c r="I26" i="13"/>
  <c r="J26" i="13"/>
  <c r="J25" i="13"/>
  <c r="G25" i="13"/>
  <c r="J24" i="13"/>
  <c r="I24" i="13"/>
  <c r="K24" i="13" s="1"/>
  <c r="J23" i="13"/>
  <c r="J22" i="13"/>
  <c r="J21" i="13"/>
  <c r="I21" i="13"/>
  <c r="G21" i="13"/>
  <c r="J20" i="13"/>
  <c r="G20" i="13"/>
  <c r="K20" i="13" s="1"/>
  <c r="J19" i="13"/>
  <c r="I19" i="13"/>
  <c r="G19" i="13"/>
  <c r="J18" i="13"/>
  <c r="I18" i="13"/>
  <c r="G18" i="13"/>
  <c r="I17" i="13"/>
  <c r="G17" i="13"/>
  <c r="I16" i="13"/>
  <c r="G16" i="13"/>
  <c r="K16" i="13" s="1"/>
  <c r="J15" i="13"/>
  <c r="I15" i="13"/>
  <c r="K15" i="13" s="1"/>
  <c r="J14" i="13"/>
  <c r="I14" i="13"/>
  <c r="K14" i="13" s="1"/>
  <c r="J13" i="13"/>
  <c r="I13" i="13"/>
  <c r="G13" i="13"/>
  <c r="J12" i="13"/>
  <c r="I12" i="13"/>
  <c r="K12" i="13" s="1"/>
  <c r="J10" i="13"/>
  <c r="J9" i="13"/>
  <c r="I9" i="13"/>
  <c r="K9" i="13" s="1"/>
  <c r="J8" i="13"/>
  <c r="I8" i="13"/>
  <c r="I35" i="12"/>
  <c r="H25" i="12"/>
  <c r="H10" i="12"/>
  <c r="H22" i="12"/>
  <c r="I27" i="12"/>
  <c r="K27" i="12" s="1"/>
  <c r="J27" i="12"/>
  <c r="G27" i="12"/>
  <c r="F26" i="12"/>
  <c r="F37" i="12"/>
  <c r="H26" i="12"/>
  <c r="E37" i="12"/>
  <c r="D37" i="12"/>
  <c r="I36" i="12"/>
  <c r="K36" i="12" s="1"/>
  <c r="J36" i="12"/>
  <c r="G36" i="12"/>
  <c r="K30" i="12"/>
  <c r="K31" i="12"/>
  <c r="K32" i="12"/>
  <c r="K33" i="12"/>
  <c r="K34" i="12"/>
  <c r="J28" i="12"/>
  <c r="J29" i="12"/>
  <c r="J30" i="12"/>
  <c r="J31" i="12"/>
  <c r="J32" i="12"/>
  <c r="J33" i="12"/>
  <c r="J34" i="12"/>
  <c r="J35" i="12"/>
  <c r="G35" i="12"/>
  <c r="H23" i="12"/>
  <c r="K17" i="13" l="1"/>
  <c r="K18" i="13"/>
  <c r="K21" i="13"/>
  <c r="K37" i="13"/>
  <c r="I27" i="13"/>
  <c r="K27" i="13" s="1"/>
  <c r="J11" i="13"/>
  <c r="K28" i="13"/>
  <c r="K13" i="13"/>
  <c r="K19" i="13"/>
  <c r="K35" i="13"/>
  <c r="K36" i="13"/>
  <c r="I22" i="13"/>
  <c r="K22" i="13" s="1"/>
  <c r="I25" i="13"/>
  <c r="K25" i="13" s="1"/>
  <c r="K8" i="13"/>
  <c r="I23" i="13"/>
  <c r="K23" i="13" s="1"/>
  <c r="G26" i="13"/>
  <c r="K26" i="13" s="1"/>
  <c r="I10" i="13"/>
  <c r="K10" i="13" s="1"/>
  <c r="K35" i="12"/>
  <c r="H37" i="12"/>
  <c r="J26" i="12"/>
  <c r="I29" i="12"/>
  <c r="K29" i="12" s="1"/>
  <c r="I28" i="12"/>
  <c r="K28" i="12" s="1"/>
  <c r="I26" i="12"/>
  <c r="G26" i="12"/>
  <c r="K26" i="12" s="1"/>
  <c r="J25" i="12"/>
  <c r="G25" i="12"/>
  <c r="J24" i="12"/>
  <c r="J23" i="12"/>
  <c r="I23" i="12"/>
  <c r="K23" i="12" s="1"/>
  <c r="I22" i="12"/>
  <c r="K22" i="12" s="1"/>
  <c r="J21" i="12"/>
  <c r="G21" i="12"/>
  <c r="I20" i="12"/>
  <c r="J20" i="12"/>
  <c r="G20" i="12"/>
  <c r="J19" i="12"/>
  <c r="I19" i="12"/>
  <c r="G19" i="12"/>
  <c r="J18" i="12"/>
  <c r="I18" i="12"/>
  <c r="G18" i="12"/>
  <c r="I17" i="12"/>
  <c r="G17" i="12"/>
  <c r="I16" i="12"/>
  <c r="G16" i="12"/>
  <c r="I15" i="12"/>
  <c r="K15" i="12" s="1"/>
  <c r="J15" i="12"/>
  <c r="J14" i="12"/>
  <c r="I14" i="12"/>
  <c r="K14" i="12" s="1"/>
  <c r="J13" i="12"/>
  <c r="I13" i="12"/>
  <c r="G13" i="12"/>
  <c r="G37" i="12" s="1"/>
  <c r="J12" i="12"/>
  <c r="J11" i="12"/>
  <c r="I11" i="12"/>
  <c r="K11" i="12" s="1"/>
  <c r="J9" i="12"/>
  <c r="I9" i="12"/>
  <c r="K9" i="12" s="1"/>
  <c r="J8" i="12"/>
  <c r="I8" i="12"/>
  <c r="H25" i="11"/>
  <c r="H10" i="11"/>
  <c r="H22" i="11"/>
  <c r="H12" i="11"/>
  <c r="K29" i="11"/>
  <c r="K30" i="11"/>
  <c r="K31" i="11"/>
  <c r="H23" i="11"/>
  <c r="I14" i="11"/>
  <c r="K14" i="11" s="1"/>
  <c r="H24" i="11"/>
  <c r="I15" i="11"/>
  <c r="K15" i="11" s="1"/>
  <c r="H21" i="11"/>
  <c r="I21" i="11" s="1"/>
  <c r="I20" i="11"/>
  <c r="G26" i="11"/>
  <c r="K26" i="11" s="1"/>
  <c r="G25" i="11"/>
  <c r="J26" i="11"/>
  <c r="E28" i="11"/>
  <c r="I26" i="11"/>
  <c r="K20" i="12" l="1"/>
  <c r="K19" i="12"/>
  <c r="K16" i="12"/>
  <c r="K17" i="12"/>
  <c r="K18" i="12"/>
  <c r="I25" i="12"/>
  <c r="K25" i="12" s="1"/>
  <c r="K13" i="12"/>
  <c r="I10" i="12"/>
  <c r="K10" i="12" s="1"/>
  <c r="J22" i="12"/>
  <c r="J10" i="12"/>
  <c r="K8" i="12"/>
  <c r="K37" i="12" s="1"/>
  <c r="I12" i="12"/>
  <c r="K12" i="12" s="1"/>
  <c r="I21" i="12"/>
  <c r="K21" i="12" s="1"/>
  <c r="I24" i="12"/>
  <c r="K24" i="12" s="1"/>
  <c r="I27" i="11"/>
  <c r="K27" i="11" s="1"/>
  <c r="J37" i="12" l="1"/>
  <c r="I37" i="12"/>
  <c r="J25" i="11"/>
  <c r="H28" i="11"/>
  <c r="H15" i="11"/>
  <c r="H20" i="11"/>
  <c r="J20" i="11" s="1"/>
  <c r="J21" i="11"/>
  <c r="G20" i="11"/>
  <c r="K20" i="11" s="1"/>
  <c r="G21" i="11"/>
  <c r="K21" i="11" s="1"/>
  <c r="F19" i="11"/>
  <c r="F32" i="11" s="1"/>
  <c r="J23" i="11"/>
  <c r="J24" i="11"/>
  <c r="J22" i="11"/>
  <c r="I25" i="11"/>
  <c r="K25" i="11" s="1"/>
  <c r="I24" i="11"/>
  <c r="K24" i="11" s="1"/>
  <c r="I23" i="11"/>
  <c r="K23" i="11" s="1"/>
  <c r="I22" i="11"/>
  <c r="K22" i="11" s="1"/>
  <c r="I19" i="11"/>
  <c r="J18" i="11"/>
  <c r="I18" i="11"/>
  <c r="G18" i="11"/>
  <c r="K18" i="11" s="1"/>
  <c r="I17" i="11"/>
  <c r="G17" i="11"/>
  <c r="I16" i="11"/>
  <c r="G16" i="11"/>
  <c r="K16" i="11" s="1"/>
  <c r="J14" i="11"/>
  <c r="J13" i="11"/>
  <c r="I13" i="11"/>
  <c r="G13" i="11"/>
  <c r="J12" i="11"/>
  <c r="I12" i="11"/>
  <c r="K12" i="11" s="1"/>
  <c r="J11" i="11"/>
  <c r="I11" i="11"/>
  <c r="K11" i="11" s="1"/>
  <c r="J9" i="11"/>
  <c r="I9" i="11"/>
  <c r="K9" i="11" s="1"/>
  <c r="J8" i="11"/>
  <c r="I8" i="11"/>
  <c r="K8" i="11" s="1"/>
  <c r="K13" i="11" l="1"/>
  <c r="K17" i="11"/>
  <c r="J28" i="11"/>
  <c r="I10" i="11"/>
  <c r="J10" i="11"/>
  <c r="H32" i="11"/>
  <c r="I28" i="11"/>
  <c r="K28" i="11" s="1"/>
  <c r="J15" i="11"/>
  <c r="J19" i="11"/>
  <c r="G19" i="11"/>
  <c r="I20" i="8"/>
  <c r="I17" i="8"/>
  <c r="G17" i="8"/>
  <c r="I16" i="8"/>
  <c r="I9" i="8"/>
  <c r="I10" i="8"/>
  <c r="I11" i="8"/>
  <c r="I12" i="8"/>
  <c r="I13" i="8"/>
  <c r="I14" i="8"/>
  <c r="I15" i="8"/>
  <c r="I18" i="8"/>
  <c r="I19" i="8"/>
  <c r="I21" i="8"/>
  <c r="I22" i="8"/>
  <c r="I23" i="8"/>
  <c r="I24" i="8"/>
  <c r="I25" i="8"/>
  <c r="I8" i="8"/>
  <c r="G13" i="8"/>
  <c r="G32" i="11" l="1"/>
  <c r="K19" i="11"/>
  <c r="I32" i="11"/>
  <c r="K10" i="11"/>
  <c r="J32" i="11"/>
  <c r="K32" i="11"/>
  <c r="K25" i="8"/>
  <c r="F26" i="8"/>
  <c r="H26" i="8"/>
  <c r="I26" i="8"/>
  <c r="D26" i="8"/>
  <c r="E9" i="8"/>
  <c r="K9" i="8" s="1"/>
  <c r="E10" i="8"/>
  <c r="K10" i="8" s="1"/>
  <c r="E11" i="8"/>
  <c r="K11" i="8" s="1"/>
  <c r="E12" i="8"/>
  <c r="K12" i="8" s="1"/>
  <c r="E13" i="8"/>
  <c r="K13" i="8" s="1"/>
  <c r="E14" i="8"/>
  <c r="K14" i="8" s="1"/>
  <c r="E15" i="8"/>
  <c r="K15" i="8" s="1"/>
  <c r="E16" i="8"/>
  <c r="E18" i="8"/>
  <c r="K18" i="8" s="1"/>
  <c r="E19" i="8"/>
  <c r="E20" i="8"/>
  <c r="K20" i="8" s="1"/>
  <c r="E21" i="8"/>
  <c r="K21" i="8" s="1"/>
  <c r="E22" i="8"/>
  <c r="K22" i="8" s="1"/>
  <c r="E23" i="8"/>
  <c r="K23" i="8" s="1"/>
  <c r="E24" i="8"/>
  <c r="K24" i="8" s="1"/>
  <c r="E8" i="8" l="1"/>
  <c r="E26" i="8" s="1"/>
  <c r="J19" i="8"/>
  <c r="J20" i="8" l="1"/>
  <c r="J18" i="8"/>
  <c r="G18" i="8"/>
  <c r="G16" i="8"/>
  <c r="J15" i="8"/>
  <c r="J14" i="8"/>
  <c r="J12" i="8"/>
  <c r="J11" i="8"/>
  <c r="J10" i="8"/>
  <c r="J9" i="8"/>
  <c r="K8" i="8"/>
  <c r="K26" i="8" s="1"/>
  <c r="J8" i="8"/>
  <c r="G26" i="8" l="1"/>
  <c r="J13" i="8"/>
  <c r="J26" i="8" s="1"/>
  <c r="H29" i="10" l="1"/>
  <c r="J29" i="10"/>
  <c r="K29" i="10" s="1"/>
  <c r="K14" i="10"/>
  <c r="J29" i="9"/>
  <c r="K29" i="9" s="1"/>
  <c r="J25" i="7"/>
  <c r="H22" i="10"/>
  <c r="K22" i="10" s="1"/>
  <c r="F26" i="10"/>
  <c r="K16" i="10"/>
  <c r="K17" i="10"/>
  <c r="K18" i="10"/>
  <c r="K24" i="10"/>
  <c r="K25" i="10"/>
  <c r="I33" i="10"/>
  <c r="J28" i="10"/>
  <c r="K28" i="10" s="1"/>
  <c r="J27" i="10"/>
  <c r="K27" i="10" s="1"/>
  <c r="J25" i="10"/>
  <c r="J24" i="10"/>
  <c r="K23" i="10"/>
  <c r="J23" i="10"/>
  <c r="J21" i="10"/>
  <c r="K21" i="10"/>
  <c r="K20" i="10"/>
  <c r="J20" i="10"/>
  <c r="K19" i="10"/>
  <c r="J19" i="10"/>
  <c r="J18" i="10"/>
  <c r="J17" i="10"/>
  <c r="J16" i="10"/>
  <c r="K15" i="10"/>
  <c r="J15" i="10"/>
  <c r="J13" i="10"/>
  <c r="K13" i="10"/>
  <c r="J12" i="10"/>
  <c r="K12" i="10"/>
  <c r="J11" i="10"/>
  <c r="K11" i="10"/>
  <c r="J10" i="10"/>
  <c r="K10" i="10"/>
  <c r="J9" i="10"/>
  <c r="K9" i="10"/>
  <c r="K8" i="10"/>
  <c r="J8" i="10"/>
  <c r="K7" i="10"/>
  <c r="I33" i="9"/>
  <c r="D33" i="9"/>
  <c r="F27" i="9"/>
  <c r="G27" i="9" s="1"/>
  <c r="H7" i="9"/>
  <c r="H33" i="9" s="1"/>
  <c r="H12" i="9"/>
  <c r="H25" i="9"/>
  <c r="H10" i="9"/>
  <c r="H14" i="9"/>
  <c r="G26" i="9"/>
  <c r="J26" i="10" l="1"/>
  <c r="K26" i="10" s="1"/>
  <c r="K33" i="10" s="1"/>
  <c r="J22" i="10"/>
  <c r="H33" i="10"/>
  <c r="J14" i="10"/>
  <c r="G26" i="10"/>
  <c r="G28" i="10"/>
  <c r="J7" i="10"/>
  <c r="F33" i="10"/>
  <c r="G27" i="10"/>
  <c r="F28" i="9"/>
  <c r="F33" i="9" s="1"/>
  <c r="J26" i="9"/>
  <c r="K26" i="9" s="1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6" i="7"/>
  <c r="J7" i="7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7" i="9"/>
  <c r="E14" i="9"/>
  <c r="K14" i="9" s="1"/>
  <c r="E8" i="9"/>
  <c r="K8" i="9" s="1"/>
  <c r="E9" i="9"/>
  <c r="K9" i="9" s="1"/>
  <c r="E10" i="9"/>
  <c r="K10" i="9" s="1"/>
  <c r="E11" i="9"/>
  <c r="K11" i="9" s="1"/>
  <c r="E12" i="9"/>
  <c r="K12" i="9" s="1"/>
  <c r="E13" i="9"/>
  <c r="K13" i="9" s="1"/>
  <c r="E15" i="9"/>
  <c r="K15" i="9" s="1"/>
  <c r="E16" i="9"/>
  <c r="K16" i="9" s="1"/>
  <c r="E17" i="9"/>
  <c r="K17" i="9" s="1"/>
  <c r="E18" i="9"/>
  <c r="K18" i="9" s="1"/>
  <c r="E19" i="9"/>
  <c r="K19" i="9" s="1"/>
  <c r="E20" i="9"/>
  <c r="K20" i="9" s="1"/>
  <c r="E21" i="9"/>
  <c r="K21" i="9" s="1"/>
  <c r="E22" i="9"/>
  <c r="K22" i="9" s="1"/>
  <c r="E23" i="9"/>
  <c r="K23" i="9" s="1"/>
  <c r="E24" i="9"/>
  <c r="K24" i="9" s="1"/>
  <c r="E25" i="9"/>
  <c r="K25" i="9" s="1"/>
  <c r="E7" i="9"/>
  <c r="K7" i="9" s="1"/>
  <c r="J28" i="9" l="1"/>
  <c r="K28" i="9" s="1"/>
  <c r="G28" i="9"/>
  <c r="G33" i="9" s="1"/>
  <c r="E33" i="9"/>
  <c r="J33" i="10"/>
  <c r="G33" i="10"/>
  <c r="J27" i="9"/>
  <c r="G12" i="2"/>
  <c r="G15" i="2"/>
  <c r="J33" i="9" l="1"/>
  <c r="K27" i="9"/>
  <c r="K33" i="9" s="1"/>
  <c r="H27" i="7"/>
  <c r="I27" i="7"/>
  <c r="D27" i="7"/>
  <c r="G27" i="7"/>
  <c r="G32" i="7"/>
  <c r="H8" i="5"/>
  <c r="H12" i="5"/>
  <c r="H17" i="5"/>
  <c r="H19" i="5"/>
  <c r="J27" i="7" l="1"/>
  <c r="J8" i="5"/>
  <c r="H18" i="5"/>
  <c r="J18" i="5" s="1"/>
  <c r="F19" i="5"/>
  <c r="J19" i="5" s="1"/>
  <c r="I16" i="2"/>
  <c r="G18" i="2"/>
  <c r="G13" i="2"/>
  <c r="G14" i="2"/>
  <c r="I25" i="2"/>
  <c r="G6" i="2"/>
  <c r="G8" i="2"/>
  <c r="G7" i="2"/>
  <c r="G11" i="2"/>
  <c r="E18" i="2"/>
  <c r="J9" i="5"/>
  <c r="J10" i="5"/>
  <c r="J11" i="5"/>
  <c r="J12" i="5"/>
  <c r="J13" i="5"/>
  <c r="J14" i="5"/>
  <c r="J15" i="5"/>
  <c r="J16" i="5"/>
  <c r="J17" i="5"/>
  <c r="J20" i="5"/>
  <c r="J21" i="5"/>
  <c r="J22" i="5"/>
  <c r="D23" i="5"/>
  <c r="G23" i="5"/>
  <c r="E23" i="5"/>
  <c r="J7" i="5"/>
  <c r="H23" i="5" l="1"/>
  <c r="F23" i="5"/>
  <c r="J23" i="5"/>
  <c r="H19" i="4"/>
  <c r="G19" i="4"/>
  <c r="E19" i="4"/>
  <c r="F19" i="4"/>
  <c r="J17" i="4"/>
  <c r="J16" i="4"/>
  <c r="J15" i="4"/>
  <c r="J14" i="4"/>
  <c r="J13" i="4"/>
  <c r="J12" i="4"/>
  <c r="J11" i="4"/>
  <c r="J10" i="4"/>
  <c r="J9" i="4"/>
  <c r="J8" i="4"/>
  <c r="J7" i="4"/>
  <c r="J6" i="4"/>
  <c r="H16" i="3"/>
  <c r="H8" i="3"/>
  <c r="H18" i="3"/>
  <c r="H6" i="3"/>
  <c r="J24" i="5" l="1"/>
  <c r="J20" i="4"/>
  <c r="J18" i="4"/>
  <c r="J19" i="4" s="1"/>
  <c r="H11" i="3" l="1"/>
  <c r="H17" i="3"/>
  <c r="F18" i="3" l="1"/>
  <c r="F19" i="3" s="1"/>
  <c r="J7" i="3"/>
  <c r="J8" i="3"/>
  <c r="J9" i="3"/>
  <c r="J10" i="3"/>
  <c r="J11" i="3"/>
  <c r="G19" i="3"/>
  <c r="E19" i="3"/>
  <c r="J17" i="3"/>
  <c r="J16" i="3"/>
  <c r="J15" i="3"/>
  <c r="J14" i="3"/>
  <c r="J13" i="3"/>
  <c r="J12" i="3"/>
  <c r="H19" i="3"/>
  <c r="J6" i="3"/>
  <c r="I14" i="2"/>
  <c r="G19" i="2"/>
  <c r="I18" i="2"/>
  <c r="C19" i="2"/>
  <c r="E19" i="2"/>
  <c r="I15" i="2"/>
  <c r="I17" i="2"/>
  <c r="D19" i="2"/>
  <c r="F19" i="2"/>
  <c r="I8" i="2"/>
  <c r="I9" i="2"/>
  <c r="I10" i="2"/>
  <c r="I12" i="2"/>
  <c r="I6" i="2"/>
  <c r="J18" i="3" l="1"/>
  <c r="J19" i="3" s="1"/>
  <c r="I20" i="2"/>
  <c r="I24" i="2" s="1"/>
  <c r="I26" i="2" s="1"/>
  <c r="J20" i="3"/>
  <c r="I13" i="2"/>
  <c r="G22" i="2" s="1"/>
  <c r="I11" i="2"/>
  <c r="I7" i="2"/>
  <c r="I19" i="2" l="1"/>
</calcChain>
</file>

<file path=xl/comments1.xml><?xml version="1.0" encoding="utf-8"?>
<comments xmlns="http://schemas.openxmlformats.org/spreadsheetml/2006/main">
  <authors>
    <author>Admin</author>
    <author>NTPC01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E16" authorId="1" shapeId="0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10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HD CANADA</t>
        </r>
      </text>
    </comment>
  </commentList>
</comments>
</file>

<file path=xl/comments11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HD CANADA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NTPC01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3.xml><?xml version="1.0" encoding="utf-8"?>
<comments xmlns="http://schemas.openxmlformats.org/spreadsheetml/2006/main">
  <authors>
    <author>Admin</author>
    <author>NTPC01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5.xml><?xml version="1.0" encoding="utf-8"?>
<comments xmlns="http://schemas.openxmlformats.org/spreadsheetml/2006/main">
  <authors>
    <author>USER</author>
    <author>Admin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6.xml><?xml version="1.0" encoding="utf-8"?>
<comments xmlns="http://schemas.openxmlformats.org/spreadsheetml/2006/main">
  <authors>
    <author>USER</author>
    <author>Admin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7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1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comments8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tk 7-6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comments9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sharedStrings.xml><?xml version="1.0" encoding="utf-8"?>
<sst xmlns="http://schemas.openxmlformats.org/spreadsheetml/2006/main" count="1119" uniqueCount="213">
  <si>
    <t>STT</t>
  </si>
  <si>
    <t>DA -NGA</t>
  </si>
  <si>
    <t>LƯỠI -NGA</t>
  </si>
  <si>
    <t>MŨI -NGA</t>
  </si>
  <si>
    <t>ĐANG XUẤT</t>
  </si>
  <si>
    <t>KHOANH GIÒ TONES</t>
  </si>
  <si>
    <t>GÀ HQ</t>
  </si>
  <si>
    <t>TAI HEO -ĐỨC</t>
  </si>
  <si>
    <t>KHOANH GIÒ NHỎ VLMK</t>
  </si>
  <si>
    <t>GA HD</t>
  </si>
  <si>
    <t>KHOANH GIÒ LỚN WEST</t>
  </si>
  <si>
    <t>LƯU KHO</t>
  </si>
  <si>
    <t>CTY NHẬP</t>
  </si>
  <si>
    <t>HÓA ĐƠN BÌNH AN</t>
  </si>
  <si>
    <t>HÓA ĐƠN THIEN VƯƠNG</t>
  </si>
  <si>
    <t>ĐỨC PHONG HẸN 15/12 XUẤT HÓA ĐƠN CHO MÌNH</t>
  </si>
  <si>
    <t>HÓA ĐƠN ĐỨC PHONG</t>
  </si>
  <si>
    <t xml:space="preserve">BÁO CÁO XUẤT NHẬP TỒN NGUYÊN VẬT LIỆU ĐẦU VÀO </t>
  </si>
  <si>
    <t>TÊN MẶT HÀNG</t>
  </si>
  <si>
    <t>Số lượng</t>
  </si>
  <si>
    <t>Thành tiền</t>
  </si>
  <si>
    <t>Nhập trong kỳ</t>
  </si>
  <si>
    <t>Xuất trong kỳ</t>
  </si>
  <si>
    <t>Tồn cuối kỳ</t>
  </si>
  <si>
    <t>Ghi chú</t>
  </si>
  <si>
    <t>CỘNG</t>
  </si>
  <si>
    <t xml:space="preserve">Cty đang nhập </t>
  </si>
  <si>
    <t>Cty nhập ( 4/12)</t>
  </si>
  <si>
    <t>Cty nhập ( 12/12)</t>
  </si>
  <si>
    <t>THỊT GÀ NGUYÊN CON ĐL</t>
  </si>
  <si>
    <t>CTY KIM VIỆT</t>
  </si>
  <si>
    <t>Tồn cuối kỳ 30/12/2021</t>
  </si>
  <si>
    <t>SL tổng xuất 02 tờ hd</t>
  </si>
  <si>
    <t>Tồn đầu kỳ</t>
  </si>
  <si>
    <t>đơn giá</t>
  </si>
  <si>
    <t>cty nhap/</t>
  </si>
  <si>
    <t>gui kho 10/2/2022</t>
  </si>
  <si>
    <t>kim viet</t>
  </si>
  <si>
    <t>gui kho 13/2/2022</t>
  </si>
  <si>
    <t>HÓA ĐƠN BÌNH AN/CHƯA DÙNG</t>
  </si>
  <si>
    <t>CTY NHẬP/CHƯA DÙNG</t>
  </si>
  <si>
    <t>CTY NHẬP/ĐANG DÙNG</t>
  </si>
  <si>
    <t>CTY KIM VIỆT/ĐANG DÙNG</t>
  </si>
  <si>
    <t>CTY NHẬP/GỬI KHO 10/2/2022</t>
  </si>
  <si>
    <t>CTY KIM VIET5/ GỬI KHO 13/2/2022</t>
  </si>
  <si>
    <t>MỠ LƯNG HEO ĐL</t>
  </si>
  <si>
    <t xml:space="preserve">LƯỠI BỈ </t>
  </si>
  <si>
    <t xml:space="preserve">CTY HẠ LONG </t>
  </si>
  <si>
    <t xml:space="preserve">TÂY VINH </t>
  </si>
  <si>
    <t>KHOANH GIÒ HEO TRƯỚC TONIES ( HD: kghdl)</t>
  </si>
  <si>
    <t>HĐ: 367/ CTY BÌNH AN ( 16/3/222</t>
  </si>
  <si>
    <t>OK</t>
  </si>
  <si>
    <t>OK-T4</t>
  </si>
  <si>
    <t>OK-31/3</t>
  </si>
  <si>
    <t>HET</t>
  </si>
  <si>
    <t>Cty  BÌNH AN/HD 377/378/ GỬI KHO 2 conrt 24/3/2022</t>
  </si>
  <si>
    <t>KHOANH GIÒ HEO ĐÔNG LẠNH</t>
  </si>
  <si>
    <t>BÁN RA</t>
  </si>
  <si>
    <t>NHẬP CTY UNION</t>
  </si>
  <si>
    <t xml:space="preserve">Bắp bò EL </t>
  </si>
  <si>
    <t>Heo- Bắp khoanh trước VLMK Nga- VP</t>
  </si>
  <si>
    <t>CTY CUỘC SỐNG/ HD3753</t>
  </si>
  <si>
    <t>THỊT GÀ NGUYÊN CON ĐL ( 2 cont)</t>
  </si>
  <si>
    <t>LƯỠI ĐỨC ( 1/2 COTN)</t>
  </si>
  <si>
    <t>MỠ LƯNG HEO ĐL ( 1/2 COTN)</t>
  </si>
  <si>
    <t>ĐÃ ĐẶT CỌC dự kiến 3/5/22 về kho</t>
  </si>
  <si>
    <t>ĐÃ ĐẶT CỌC dư kiến 25/5 về kho</t>
  </si>
  <si>
    <t>KHOANH GIÒ SIZE 700-1000 ( 1 cotn)</t>
  </si>
  <si>
    <t xml:space="preserve">  HÓA ĐƠN 755.</t>
  </si>
  <si>
    <t>THÁNG 5-2022</t>
  </si>
  <si>
    <t>KHOANH GIÒ HEO VLMK</t>
  </si>
  <si>
    <t>BÌNH AN</t>
  </si>
  <si>
    <t>CTY BÌNH AN</t>
  </si>
  <si>
    <t>THỊT GÀ NGUYÊN CON ĐL ( 1 cont)</t>
  </si>
  <si>
    <t>BÌNH AN 30/4</t>
  </si>
  <si>
    <t>BINH ANH 5/5/</t>
  </si>
  <si>
    <t>BẮP BÒ ĐAN MẠCH</t>
  </si>
  <si>
    <t>ĐẶT COC 18/5/2022: 266 TRIỆU</t>
  </si>
  <si>
    <t>ĐÃ ĐẶT CỌC dự kiến 23/5/2022 về kho</t>
  </si>
  <si>
    <t>ĐÃ ĐẶT CỌC dư kiến 2/6/2022 về kho</t>
  </si>
  <si>
    <t>CTY NHẬP/GỬI KHO 10/2/2022/CHƯA DÙNG</t>
  </si>
  <si>
    <t>HĐ: 367/ CTY BÌNH AN ( 16/3/222)/DANG DÙNG</t>
  </si>
  <si>
    <t xml:space="preserve">BẮP BÒ </t>
  </si>
  <si>
    <t>cty cuộc sống /6052</t>
  </si>
  <si>
    <t>THÁNG 6-2022</t>
  </si>
  <si>
    <t>NHẬP KIM VIỆT/GỬI KHO QUANG MINH</t>
  </si>
  <si>
    <t>ĐÃ ĐẶT CỌC dư kiến 2/6/2022 về kho- tk hải quan</t>
  </si>
  <si>
    <t>ĐẶT COC 18/5/2022: 266 TRIỆU/MUC TIÊU</t>
  </si>
  <si>
    <t>BAP BO DAN MACH</t>
  </si>
  <si>
    <t>DAT COC 825 TRIEU NGAY 28/6/2022 DU KIEN VE 30/8/2022</t>
  </si>
  <si>
    <t>DA DAT COC VA DU TINH 15/7</t>
  </si>
  <si>
    <t>DA DAT COC VA DU TINH 30/7</t>
  </si>
  <si>
    <t>DA DAT COC DU TINH VE 20/8/2022</t>
  </si>
  <si>
    <t>VAO KHO 1/7/2022/KIM VIET</t>
  </si>
  <si>
    <t>THÁNG 7-2022</t>
  </si>
  <si>
    <t>KHOANH GIO TBN SIZE NHO</t>
  </si>
  <si>
    <t>KHOANH GIO TBN SIZE LON</t>
  </si>
  <si>
    <t>DAT COC NGAY 14/7/2022 VE T9/2022</t>
  </si>
  <si>
    <t>BẮP BÒ</t>
  </si>
  <si>
    <t>TÂM TRÍ SÁNG</t>
  </si>
  <si>
    <t xml:space="preserve">Mỡ lưng heo </t>
  </si>
  <si>
    <t>chưa có hóa đơn</t>
  </si>
  <si>
    <t>VAO KHO 1/7/2022/KIM VIET/ BÌNH AN</t>
  </si>
  <si>
    <t>THÁNG 8-2022</t>
  </si>
  <si>
    <t xml:space="preserve">cty thành nam/ gửi kho HN </t>
  </si>
  <si>
    <t>Chân gà đông lạnh</t>
  </si>
  <si>
    <t>BINH AN - hd 232</t>
  </si>
  <si>
    <t>KHOANH GIÒ  nhỏ SIZE 700-1000 ( 1 cotn)</t>
  </si>
  <si>
    <t>NHIÊU LỘC/HD3441</t>
  </si>
  <si>
    <t>THÁNG 9-2022</t>
  </si>
  <si>
    <t>DANG XUẤT THU HẰNG</t>
  </si>
  <si>
    <t xml:space="preserve">THỊT GÀ NGUYÊN CON ĐL </t>
  </si>
  <si>
    <t>KHOANH GIO TBN SIZE NHO-CANADA</t>
  </si>
  <si>
    <t>GUI KHO/DANG XUẤT VE TH</t>
  </si>
  <si>
    <t>KHOANH GIO SIZE LON</t>
  </si>
  <si>
    <t>GUI KHO 22/8-HD NAM MUC TIEU</t>
  </si>
  <si>
    <t>GUI KHO 6/9 -HOA DON NAM MỤC TIÊU</t>
  </si>
  <si>
    <t>GUI KHO 23/8-HD NĂM MỤC TIÊU</t>
  </si>
  <si>
    <t>GUI KHO 31/8-HOA DON BÌNH AN</t>
  </si>
  <si>
    <t>DANG GUI KHO</t>
  </si>
  <si>
    <t>KHO HÀNG SỐNG THÁNG 9-2022</t>
  </si>
  <si>
    <t>LƯU Ý: DO HÔM NAY ANH LÀM THÀNH RA CÓ MỘT VAI HÓA ĐƠN MỚI NHẬP ANH CHO VÀO TỒN ĐẦU LUÔN</t>
  </si>
  <si>
    <t>LẤY LÊ HOÀN/DANG XUAT</t>
  </si>
  <si>
    <t>Khoanh lớn (bắp giò heo cắt khúc đông lạnh)</t>
  </si>
  <si>
    <t>đơn gá</t>
  </si>
  <si>
    <t>THỰC PHẨM HẠ LONG/HD 4537</t>
  </si>
  <si>
    <t>KHOANH GIÒ ĐÔNG LẠNH</t>
  </si>
  <si>
    <t>LÊ HOÀN/ HD 1161</t>
  </si>
  <si>
    <t>THỊT GÀ NGUYÊN CON</t>
  </si>
  <si>
    <t>NĂM MỤC TIÊU/ HĐ 1647</t>
  </si>
  <si>
    <t>Thịt gà nguyên con đông lạnh</t>
  </si>
  <si>
    <t>Khoanh giò heo đông lạnh</t>
  </si>
  <si>
    <t>Bắp bò đông lạnh</t>
  </si>
  <si>
    <t>Cty Lê Hoàn, hđ ngày 06/09/2022</t>
  </si>
  <si>
    <t>Cty Năm Mục Tiêu, hđ ngày 07/09/2022</t>
  </si>
  <si>
    <t>Cty Canada, hđ ngày 14/09/2022</t>
  </si>
  <si>
    <t>Cty Hạ Long, hđ ngày 12/09/2022</t>
  </si>
  <si>
    <t>NHẬP XUẤT TỒN THÁNG 9/2022</t>
  </si>
  <si>
    <t>Stt</t>
  </si>
  <si>
    <t>Mũi - Nga</t>
  </si>
  <si>
    <t>Tai heo - Đức</t>
  </si>
  <si>
    <t>Bắp bò - Đan Mạch</t>
  </si>
  <si>
    <t>Thịt gà nguyên con</t>
  </si>
  <si>
    <t>Lưỡi - Đức</t>
  </si>
  <si>
    <t>Khoanh giò lớn</t>
  </si>
  <si>
    <t>Khoanh giò lớn - TBN</t>
  </si>
  <si>
    <t>Khoanh giò nhỏ - TBN</t>
  </si>
  <si>
    <t>Cty Lê Hoàn, hđ ngày 16/09/2022</t>
  </si>
  <si>
    <t>tờ khai HQ số 104967443010, ngày 14/09/2022</t>
  </si>
  <si>
    <t>Xuất thu hằng hđ ngày 10/9/2022</t>
  </si>
  <si>
    <t>Nhập Cty Lê Hoàn hđ ngày 06/09/2022; xuất thu hằng hđ ngày 10/9/2022</t>
  </si>
  <si>
    <t>Khoanh giò nhỏ</t>
  </si>
  <si>
    <t>Xuất thu hằng hđ ngày 20/9/2022</t>
  </si>
  <si>
    <t>Xuất thu hằng hđ ngày 10/9/2022 + hđ ngày 20/9/2022</t>
  </si>
  <si>
    <t>Nhập Cty Canada hđ ngày 14/09/2022; xuất thu hằng hđ ngày 20/9/2022</t>
  </si>
  <si>
    <t>Nhập Cty Cảng Hải Phòng hđ ngày 23/9/2022</t>
  </si>
  <si>
    <t>Nhập Cty Bình An hđ ngày 24/9/2022</t>
  </si>
  <si>
    <t xml:space="preserve">Nhập Cty Hạ Long, hđ ngày 23/09/2022; </t>
  </si>
  <si>
    <t>Thịt bắp bò</t>
  </si>
  <si>
    <t>Xuất thu hằng hđ ngày 10/9/2022+ hd ngày 30/9/2022</t>
  </si>
  <si>
    <t>xuất Tạ Đức Tuyên 10/9/2022; xuất thu hằng hđ ngày 10/9/2022+ hd ngày 30/9/2022</t>
  </si>
  <si>
    <t>Xuất thu hằng hđ ngày 30/9/2022</t>
  </si>
  <si>
    <t>Xuất thu hằng hđ ngày 10/9/2022 + hđ ngày 20/9/2022+hd ngày 30/9/2022</t>
  </si>
  <si>
    <t>tờ khai HQ số 104967443010, ngày 14/09/2022; xuất thu hằng hđ ngày 20/9/2022+hd thu hằng ngày 30/9/2022</t>
  </si>
  <si>
    <t>Nhập Cty Hạ Long, hđ ngày 12/09/2022; xuất thu hằng hđ ngày 20/9/2022+hd ngày 30/9/2022</t>
  </si>
  <si>
    <t>Nhập Cty Bình An hđ ngày 01/9/2022</t>
  </si>
  <si>
    <t xml:space="preserve">Nhập Cty Tâm Trí Sáng, hđ ngày 21/09/2022 và ngày 26/9/2022; </t>
  </si>
  <si>
    <t>NHẬP XUẤT TỒN THÁNG 10/2022</t>
  </si>
  <si>
    <t>Nhập Cty Bình An hđ ngày 01/10/2022</t>
  </si>
  <si>
    <t>Xuất thu hằng hđ ngày 11/10/2022</t>
  </si>
  <si>
    <t>xuất đông anh hd ngày 6/10/2022, xuất thu hằng hd ngày 11/10/2022</t>
  </si>
  <si>
    <t>Bắp bò Tây Ban Nha</t>
  </si>
  <si>
    <t>Xuất thu hằng hđ ngày 11/10/2022, xuất thu hằng ngày 20/10/2022</t>
  </si>
  <si>
    <t>Nhập Cty thu hằng hđ ngày 01/10, nhập thu hằng ngày 13/10, nhập thu hằng ngày 15/10/2022, xuất thu hằng hd ngày 11/10/2022,xuất thu hằng ngày 20/10/2022</t>
  </si>
  <si>
    <t>Nhập cty Kim việt hd ngày 19/10/2022</t>
  </si>
  <si>
    <t>Nhập Cty Quang Minh ngày 27/10/2022</t>
  </si>
  <si>
    <t>xuất Tạ Đức Tuyên  hd ngày 17/10/2022, xuất A Hiệp hd ngày 19/10/2022, xuất thu hằng hd ngày 31/10/2022</t>
  </si>
  <si>
    <t>Xuất thu hằng hđ ngày 11/10/2022, xuất thu hằng ngày 31/10/2022</t>
  </si>
  <si>
    <t>xuất thu hằng hd ngày 31/10/2022</t>
  </si>
  <si>
    <t>xuất thu hằng hd ngày 20/10/2022, xuất thu hằng ngày 31/10/2022</t>
  </si>
  <si>
    <t>Xuất thu hằng hđ ngày 11/10/2022, xuất thu hằng ngày 20/10/2022, xuất thu hằng hd ngày 31/10/2022</t>
  </si>
  <si>
    <t>Nhập thu hằng ngày 22/10/2022, xuất thu hằng hd 31/10/2022</t>
  </si>
  <si>
    <t>NHẬP XUẤT TỒN THÁNG 11/2022</t>
  </si>
  <si>
    <t>Nhập cty Kim Việt hd ngày 3/11</t>
  </si>
  <si>
    <t>Nhập cty Kim Việt hd ngày 4/11</t>
  </si>
  <si>
    <t>nhập Thu hằng hd ngày 11/11</t>
  </si>
  <si>
    <t>nhập thu hằng hd ngày 21/11/2022</t>
  </si>
  <si>
    <t>Chân gà Nga</t>
  </si>
  <si>
    <t>nhập Thu hằng hd ngày 21/11/2022, ngày 30/11/2022</t>
  </si>
  <si>
    <t>nhập Thu hằng hd ngày 30/11/2022</t>
  </si>
  <si>
    <t>nhập Thu hằng hd ngày 11/11, ngày 21/11/2022, ngày 30/11/2022</t>
  </si>
  <si>
    <t>Khoanh giò nhỏ Hà Lan</t>
  </si>
  <si>
    <t>NHẬP XUẤT TỒN THÁNG 12/2022</t>
  </si>
  <si>
    <t>xuất thu hằng hd ngày 13/12/2022</t>
  </si>
  <si>
    <t>xuất thu hằng hd ngày 13/12/2022, xuất thu hằng ngày 20/12/2022</t>
  </si>
  <si>
    <t>Khoanh giò Tones</t>
  </si>
  <si>
    <t>xuất thu hằng hd ngày 22/12/2022</t>
  </si>
  <si>
    <t>xuất thu hằng hd ngày 26/12/2022</t>
  </si>
  <si>
    <t>Thịt đùi heo đông lạnh</t>
  </si>
  <si>
    <t>Tai heo đông lạnh</t>
  </si>
  <si>
    <t>Gà nguyên con đông lạnh</t>
  </si>
  <si>
    <t>Bắp giò heo cắt khúc đông lạnh</t>
  </si>
  <si>
    <t xml:space="preserve">xuất thu hằng hd ngày 13/12/2022, </t>
  </si>
  <si>
    <t>Nhập cty tiến đạt hd ngày 27/12/2022,xuất thu hằng hd ngày 29/12/2022</t>
  </si>
  <si>
    <t>Nhập cty lê hoàn hd ngày 27/12/2022, xuất thu hằng hd ngày 29/12/2022</t>
  </si>
  <si>
    <t>Nhập cty tiến đạt hd ngày 27/12/2022, xuất thu hằng hd ngày 29/12/2022</t>
  </si>
  <si>
    <t>Nhập cty Thành nam hd ngày 27/12/2022, xuất thu hằng ngày 29/12/2022</t>
  </si>
  <si>
    <t>xuất thu hằng hd ngày 20/12/2022, xuất em huệ ngày 26/12/2022, xuất em Nam ngày 30/12/2022</t>
  </si>
  <si>
    <t>xuất thu hằng hd ngày 13/12/2022, xuất thu hằng ngày 26/12/2022, xuất em huệ ngày 29/12/2022, xuất em huệ ngày 30/12/2022</t>
  </si>
  <si>
    <t>xuất em huệ ngày 30/12/2022</t>
  </si>
  <si>
    <t>xuất thu hằng hd ngày 13/12/2022,xuất thu hằng 31/12/2022</t>
  </si>
  <si>
    <t>xuất thu hằng hd ngày 13/12/2022, xuất thu hằng ngày 20/12/2022,xuất thu hằng 31/12/2022</t>
  </si>
  <si>
    <t>xuất thu hằng hd ngày 20/12/2022, xuất em huệ ngày 26/12/2022, xuất em Nam ngày 30/12/2022, xuất thu hằng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</si>
</sst>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5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5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2" xfId="1" applyFont="1" applyBorder="1"/>
    <xf numFmtId="0" fontId="3" fillId="0" borderId="2" xfId="0" applyFont="1" applyBorder="1" applyAlignment="1">
      <alignment horizontal="center"/>
    </xf>
    <xf numFmtId="43" fontId="3" fillId="0" borderId="2" xfId="1" applyFont="1" applyBorder="1"/>
    <xf numFmtId="0" fontId="4" fillId="2" borderId="2" xfId="0" applyFont="1" applyFill="1" applyBorder="1"/>
    <xf numFmtId="43" fontId="2" fillId="0" borderId="2" xfId="1" applyFont="1" applyBorder="1" applyAlignment="1">
      <alignment horizontal="right"/>
    </xf>
    <xf numFmtId="164" fontId="4" fillId="0" borderId="2" xfId="1" applyNumberFormat="1" applyFont="1" applyBorder="1"/>
    <xf numFmtId="14" fontId="4" fillId="3" borderId="0" xfId="0" applyNumberFormat="1" applyFont="1" applyFill="1"/>
    <xf numFmtId="165" fontId="4" fillId="0" borderId="2" xfId="1" applyNumberFormat="1" applyFont="1" applyBorder="1"/>
    <xf numFmtId="0" fontId="4" fillId="0" borderId="3" xfId="0" applyFont="1" applyBorder="1" applyAlignment="1">
      <alignment horizontal="center" vertical="center"/>
    </xf>
    <xf numFmtId="43" fontId="4" fillId="0" borderId="0" xfId="0" applyNumberFormat="1" applyFont="1"/>
    <xf numFmtId="43" fontId="4" fillId="3" borderId="0" xfId="0" applyNumberFormat="1" applyFont="1" applyFill="1"/>
    <xf numFmtId="0" fontId="4" fillId="3" borderId="0" xfId="0" applyFont="1" applyFill="1"/>
    <xf numFmtId="0" fontId="4" fillId="0" borderId="6" xfId="0" applyFont="1" applyBorder="1" applyAlignment="1">
      <alignment horizontal="center" vertical="center"/>
    </xf>
    <xf numFmtId="165" fontId="3" fillId="0" borderId="2" xfId="1" applyNumberFormat="1" applyFont="1" applyBorder="1"/>
    <xf numFmtId="0" fontId="4" fillId="3" borderId="2" xfId="0" applyFont="1" applyFill="1" applyBorder="1"/>
    <xf numFmtId="0" fontId="4" fillId="4" borderId="2" xfId="0" applyFont="1" applyFill="1" applyBorder="1"/>
    <xf numFmtId="43" fontId="4" fillId="4" borderId="2" xfId="1" applyFont="1" applyFill="1" applyBorder="1"/>
    <xf numFmtId="0" fontId="4" fillId="4" borderId="2" xfId="0" applyFont="1" applyFill="1" applyBorder="1" applyAlignment="1">
      <alignment horizontal="center"/>
    </xf>
    <xf numFmtId="43" fontId="0" fillId="0" borderId="0" xfId="0" applyNumberFormat="1"/>
    <xf numFmtId="0" fontId="4" fillId="0" borderId="7" xfId="0" applyFont="1" applyBorder="1"/>
    <xf numFmtId="166" fontId="4" fillId="0" borderId="2" xfId="1" applyNumberFormat="1" applyFont="1" applyBorder="1"/>
    <xf numFmtId="165" fontId="0" fillId="0" borderId="0" xfId="1" applyNumberFormat="1" applyFont="1"/>
    <xf numFmtId="43" fontId="2" fillId="4" borderId="2" xfId="1" applyFont="1" applyFill="1" applyBorder="1" applyAlignment="1">
      <alignment horizontal="right"/>
    </xf>
    <xf numFmtId="0" fontId="4" fillId="4" borderId="0" xfId="0" applyFont="1" applyFill="1"/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/>
    <xf numFmtId="43" fontId="8" fillId="0" borderId="2" xfId="1" applyFont="1" applyBorder="1"/>
    <xf numFmtId="43" fontId="8" fillId="0" borderId="2" xfId="1" applyFont="1" applyBorder="1" applyAlignment="1">
      <alignment horizontal="right"/>
    </xf>
    <xf numFmtId="0" fontId="8" fillId="0" borderId="2" xfId="0" applyFont="1" applyBorder="1"/>
    <xf numFmtId="0" fontId="8" fillId="3" borderId="0" xfId="0" applyFont="1" applyFill="1"/>
    <xf numFmtId="0" fontId="8" fillId="0" borderId="0" xfId="0" applyFont="1"/>
    <xf numFmtId="43" fontId="8" fillId="4" borderId="2" xfId="1" applyFont="1" applyFill="1" applyBorder="1"/>
    <xf numFmtId="43" fontId="4" fillId="4" borderId="0" xfId="1" applyFont="1" applyFill="1"/>
    <xf numFmtId="165" fontId="4" fillId="5" borderId="2" xfId="1" applyNumberFormat="1" applyFont="1" applyFill="1" applyBorder="1"/>
    <xf numFmtId="165" fontId="8" fillId="0" borderId="2" xfId="1" applyNumberFormat="1" applyFont="1" applyBorder="1"/>
    <xf numFmtId="43" fontId="8" fillId="4" borderId="0" xfId="1" applyFont="1" applyFill="1"/>
    <xf numFmtId="43" fontId="8" fillId="4" borderId="2" xfId="1" applyFont="1" applyFill="1" applyBorder="1" applyAlignment="1">
      <alignment horizontal="right"/>
    </xf>
    <xf numFmtId="0" fontId="8" fillId="4" borderId="0" xfId="0" applyFont="1" applyFill="1"/>
    <xf numFmtId="43" fontId="4" fillId="4" borderId="2" xfId="1" applyFont="1" applyFill="1" applyBorder="1" applyAlignment="1">
      <alignment horizontal="right"/>
    </xf>
    <xf numFmtId="165" fontId="4" fillId="4" borderId="2" xfId="1" applyNumberFormat="1" applyFont="1" applyFill="1" applyBorder="1"/>
    <xf numFmtId="165" fontId="3" fillId="4" borderId="2" xfId="1" applyNumberFormat="1" applyFont="1" applyFill="1" applyBorder="1"/>
    <xf numFmtId="166" fontId="4" fillId="4" borderId="2" xfId="1" applyNumberFormat="1" applyFont="1" applyFill="1" applyBorder="1"/>
    <xf numFmtId="0" fontId="0" fillId="4" borderId="0" xfId="0" applyFill="1"/>
    <xf numFmtId="0" fontId="4" fillId="4" borderId="7" xfId="0" applyFont="1" applyFill="1" applyBorder="1"/>
    <xf numFmtId="165" fontId="0" fillId="4" borderId="0" xfId="1" applyNumberFormat="1" applyFont="1" applyFill="1"/>
    <xf numFmtId="165" fontId="4" fillId="4" borderId="2" xfId="1" applyNumberFormat="1" applyFont="1" applyFill="1" applyBorder="1" applyAlignment="1">
      <alignment horizontal="right"/>
    </xf>
    <xf numFmtId="43" fontId="9" fillId="0" borderId="2" xfId="1" applyFont="1" applyBorder="1" applyAlignment="1">
      <alignment horizontal="center"/>
    </xf>
    <xf numFmtId="0" fontId="0" fillId="0" borderId="2" xfId="0" applyBorder="1"/>
    <xf numFmtId="0" fontId="4" fillId="6" borderId="2" xfId="0" applyFont="1" applyFill="1" applyBorder="1"/>
    <xf numFmtId="0" fontId="0" fillId="6" borderId="2" xfId="0" applyFill="1" applyBorder="1"/>
    <xf numFmtId="0" fontId="4" fillId="7" borderId="0" xfId="0" applyFont="1" applyFill="1"/>
    <xf numFmtId="165" fontId="4" fillId="7" borderId="2" xfId="1" applyNumberFormat="1" applyFont="1" applyFill="1" applyBorder="1"/>
    <xf numFmtId="0" fontId="4" fillId="7" borderId="2" xfId="0" applyFont="1" applyFill="1" applyBorder="1"/>
    <xf numFmtId="43" fontId="0" fillId="4" borderId="0" xfId="1" applyFont="1" applyFill="1"/>
    <xf numFmtId="0" fontId="10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43" fontId="11" fillId="4" borderId="2" xfId="1" applyFont="1" applyFill="1" applyBorder="1"/>
    <xf numFmtId="0" fontId="10" fillId="4" borderId="2" xfId="0" applyFont="1" applyFill="1" applyBorder="1"/>
    <xf numFmtId="0" fontId="10" fillId="4" borderId="0" xfId="0" applyFont="1" applyFill="1"/>
    <xf numFmtId="43" fontId="9" fillId="4" borderId="2" xfId="1" applyFont="1" applyFill="1" applyBorder="1"/>
    <xf numFmtId="165" fontId="4" fillId="3" borderId="2" xfId="1" applyNumberFormat="1" applyFont="1" applyFill="1" applyBorder="1"/>
    <xf numFmtId="0" fontId="4" fillId="5" borderId="2" xfId="0" applyFont="1" applyFill="1" applyBorder="1"/>
    <xf numFmtId="43" fontId="4" fillId="3" borderId="2" xfId="1" applyFont="1" applyFill="1" applyBorder="1" applyAlignment="1">
      <alignment horizontal="right"/>
    </xf>
    <xf numFmtId="43" fontId="4" fillId="5" borderId="2" xfId="1" applyFont="1" applyFill="1" applyBorder="1" applyAlignment="1">
      <alignment horizontal="right"/>
    </xf>
    <xf numFmtId="43" fontId="4" fillId="0" borderId="2" xfId="1" applyFont="1" applyFill="1" applyBorder="1"/>
    <xf numFmtId="43" fontId="4" fillId="5" borderId="2" xfId="1" applyFont="1" applyFill="1" applyBorder="1"/>
    <xf numFmtId="165" fontId="0" fillId="0" borderId="0" xfId="0" applyNumberFormat="1"/>
    <xf numFmtId="0" fontId="0" fillId="4" borderId="2" xfId="0" applyFill="1" applyBorder="1"/>
    <xf numFmtId="165" fontId="12" fillId="4" borderId="0" xfId="1" applyNumberFormat="1" applyFont="1" applyFill="1"/>
    <xf numFmtId="164" fontId="4" fillId="5" borderId="2" xfId="1" applyNumberFormat="1" applyFont="1" applyFill="1" applyBorder="1"/>
    <xf numFmtId="165" fontId="3" fillId="6" borderId="2" xfId="1" applyNumberFormat="1" applyFont="1" applyFill="1" applyBorder="1"/>
    <xf numFmtId="43" fontId="4" fillId="6" borderId="2" xfId="1" applyFont="1" applyFill="1" applyBorder="1"/>
    <xf numFmtId="165" fontId="4" fillId="6" borderId="2" xfId="1" applyNumberFormat="1" applyFont="1" applyFill="1" applyBorder="1" applyAlignment="1">
      <alignment horizontal="right"/>
    </xf>
    <xf numFmtId="165" fontId="4" fillId="6" borderId="2" xfId="1" applyNumberFormat="1" applyFont="1" applyFill="1" applyBorder="1"/>
    <xf numFmtId="43" fontId="4" fillId="6" borderId="2" xfId="1" applyFont="1" applyFill="1" applyBorder="1" applyAlignment="1">
      <alignment horizontal="right"/>
    </xf>
    <xf numFmtId="0" fontId="4" fillId="6" borderId="0" xfId="0" applyFont="1" applyFill="1"/>
    <xf numFmtId="43" fontId="2" fillId="8" borderId="2" xfId="1" applyFont="1" applyFill="1" applyBorder="1"/>
    <xf numFmtId="164" fontId="4" fillId="4" borderId="2" xfId="1" applyNumberFormat="1" applyFont="1" applyFill="1" applyBorder="1"/>
    <xf numFmtId="0" fontId="4" fillId="6" borderId="0" xfId="0" applyFont="1" applyFill="1" applyAlignment="1">
      <alignment horizontal="center"/>
    </xf>
    <xf numFmtId="165" fontId="3" fillId="3" borderId="2" xfId="1" applyNumberFormat="1" applyFont="1" applyFill="1" applyBorder="1"/>
    <xf numFmtId="43" fontId="4" fillId="3" borderId="2" xfId="1" applyFont="1" applyFill="1" applyBorder="1"/>
    <xf numFmtId="0" fontId="11" fillId="3" borderId="2" xfId="0" applyFont="1" applyFill="1" applyBorder="1" applyAlignment="1">
      <alignment horizontal="center"/>
    </xf>
    <xf numFmtId="43" fontId="11" fillId="3" borderId="2" xfId="1" applyFont="1" applyFill="1" applyBorder="1"/>
    <xf numFmtId="0" fontId="3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164" fontId="4" fillId="6" borderId="2" xfId="1" applyNumberFormat="1" applyFont="1" applyFill="1" applyBorder="1"/>
    <xf numFmtId="0" fontId="3" fillId="0" borderId="6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43" fontId="13" fillId="0" borderId="2" xfId="1" applyFont="1" applyBorder="1" applyAlignment="1">
      <alignment horizontal="center"/>
    </xf>
    <xf numFmtId="43" fontId="14" fillId="0" borderId="2" xfId="1" applyFont="1" applyBorder="1" applyAlignment="1">
      <alignment horizontal="center"/>
    </xf>
    <xf numFmtId="165" fontId="3" fillId="4" borderId="2" xfId="1" applyNumberFormat="1" applyFont="1" applyFill="1" applyBorder="1" applyAlignment="1">
      <alignment horizontal="right"/>
    </xf>
    <xf numFmtId="43" fontId="3" fillId="4" borderId="2" xfId="1" applyFont="1" applyFill="1" applyBorder="1" applyAlignment="1">
      <alignment horizontal="right"/>
    </xf>
    <xf numFmtId="0" fontId="11" fillId="4" borderId="2" xfId="0" applyFont="1" applyFill="1" applyBorder="1"/>
    <xf numFmtId="0" fontId="11" fillId="4" borderId="0" xfId="0" applyFont="1" applyFill="1"/>
    <xf numFmtId="43" fontId="3" fillId="4" borderId="2" xfId="1" applyFont="1" applyFill="1" applyBorder="1"/>
    <xf numFmtId="164" fontId="4" fillId="4" borderId="2" xfId="1" applyNumberFormat="1" applyFont="1" applyFill="1" applyBorder="1" applyAlignment="1">
      <alignment horizontal="right"/>
    </xf>
    <xf numFmtId="164" fontId="3" fillId="4" borderId="2" xfId="1" applyNumberFormat="1" applyFont="1" applyFill="1" applyBorder="1" applyAlignment="1">
      <alignment horizontal="right"/>
    </xf>
    <xf numFmtId="0" fontId="13" fillId="0" borderId="3" xfId="0" applyFont="1" applyBorder="1" applyAlignment="1">
      <alignment horizontal="center" vertical="center"/>
    </xf>
    <xf numFmtId="165" fontId="3" fillId="3" borderId="2" xfId="1" applyNumberFormat="1" applyFont="1" applyFill="1" applyBorder="1" applyAlignment="1">
      <alignment horizontal="right"/>
    </xf>
    <xf numFmtId="164" fontId="3" fillId="3" borderId="2" xfId="1" applyNumberFormat="1" applyFont="1" applyFill="1" applyBorder="1" applyAlignment="1">
      <alignment horizontal="right"/>
    </xf>
    <xf numFmtId="0" fontId="13" fillId="0" borderId="0" xfId="0" applyFont="1"/>
    <xf numFmtId="165" fontId="11" fillId="3" borderId="2" xfId="1" applyNumberFormat="1" applyFont="1" applyFill="1" applyBorder="1"/>
    <xf numFmtId="43" fontId="13" fillId="0" borderId="2" xfId="1" applyNumberFormat="1" applyFont="1" applyBorder="1" applyAlignment="1">
      <alignment horizontal="center"/>
    </xf>
    <xf numFmtId="43" fontId="4" fillId="4" borderId="2" xfId="1" applyNumberFormat="1" applyFont="1" applyFill="1" applyBorder="1"/>
    <xf numFmtId="43" fontId="11" fillId="3" borderId="2" xfId="1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165" fontId="3" fillId="0" borderId="2" xfId="1" applyNumberFormat="1" applyFont="1" applyFill="1" applyBorder="1"/>
    <xf numFmtId="165" fontId="4" fillId="0" borderId="2" xfId="1" applyNumberFormat="1" applyFont="1" applyFill="1" applyBorder="1" applyAlignment="1">
      <alignment horizontal="right"/>
    </xf>
    <xf numFmtId="165" fontId="4" fillId="0" borderId="2" xfId="1" applyNumberFormat="1" applyFont="1" applyFill="1" applyBorder="1"/>
    <xf numFmtId="164" fontId="4" fillId="0" borderId="2" xfId="1" applyNumberFormat="1" applyFont="1" applyFill="1" applyBorder="1"/>
    <xf numFmtId="43" fontId="4" fillId="0" borderId="2" xfId="1" applyNumberFormat="1" applyFont="1" applyFill="1" applyBorder="1"/>
    <xf numFmtId="43" fontId="4" fillId="0" borderId="2" xfId="1" applyFont="1" applyFill="1" applyBorder="1" applyAlignment="1">
      <alignment horizontal="right"/>
    </xf>
    <xf numFmtId="0" fontId="4" fillId="0" borderId="0" xfId="0" applyFont="1" applyFill="1"/>
    <xf numFmtId="0" fontId="4" fillId="3" borderId="2" xfId="0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right"/>
    </xf>
    <xf numFmtId="43" fontId="4" fillId="3" borderId="2" xfId="1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4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6" borderId="8" xfId="0" applyFont="1" applyFill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9" xfId="1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24"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26"/>
  <sheetViews>
    <sheetView workbookViewId="0">
      <selection activeCell="I13" sqref="I13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2.5703125" style="2" customWidth="1"/>
    <col min="4" max="4" width="7.7109375" style="2" customWidth="1"/>
    <col min="5" max="5" width="13.5703125" style="2" customWidth="1"/>
    <col min="6" max="6" width="16.140625" style="2" customWidth="1"/>
    <col min="7" max="7" width="15.5703125" style="2" customWidth="1"/>
    <col min="8" max="8" width="17.7109375" style="2" customWidth="1"/>
    <col min="9" max="9" width="12.5703125" style="2" customWidth="1"/>
    <col min="10" max="10" width="7.7109375" style="2" customWidth="1"/>
    <col min="11" max="11" width="28.42578125" style="2" customWidth="1"/>
    <col min="12" max="16384" width="9.140625" style="2"/>
  </cols>
  <sheetData>
    <row r="2" spans="1:12" x14ac:dyDescent="0.25">
      <c r="A2" s="1" t="s">
        <v>17</v>
      </c>
    </row>
    <row r="4" spans="1:12" x14ac:dyDescent="0.25">
      <c r="A4" s="125" t="s">
        <v>0</v>
      </c>
      <c r="B4" s="125" t="s">
        <v>18</v>
      </c>
      <c r="C4" s="127"/>
      <c r="D4" s="128"/>
      <c r="E4" s="127" t="s">
        <v>21</v>
      </c>
      <c r="F4" s="128"/>
      <c r="G4" s="127" t="s">
        <v>22</v>
      </c>
      <c r="H4" s="128"/>
      <c r="I4" s="127" t="s">
        <v>23</v>
      </c>
      <c r="J4" s="128"/>
      <c r="K4" s="125" t="s">
        <v>24</v>
      </c>
    </row>
    <row r="5" spans="1:12" x14ac:dyDescent="0.25">
      <c r="A5" s="126"/>
      <c r="B5" s="126"/>
      <c r="C5" s="5"/>
      <c r="D5" s="5"/>
      <c r="E5" s="5" t="s">
        <v>19</v>
      </c>
      <c r="F5" s="5" t="s">
        <v>20</v>
      </c>
      <c r="G5" s="5" t="s">
        <v>19</v>
      </c>
      <c r="H5" s="5" t="s">
        <v>20</v>
      </c>
      <c r="I5" s="5" t="s">
        <v>19</v>
      </c>
      <c r="J5" s="5" t="s">
        <v>20</v>
      </c>
      <c r="K5" s="126"/>
    </row>
    <row r="6" spans="1:12" x14ac:dyDescent="0.25">
      <c r="A6" s="4">
        <v>1</v>
      </c>
      <c r="B6" s="9" t="s">
        <v>1</v>
      </c>
      <c r="C6" s="6">
        <v>5176.43</v>
      </c>
      <c r="D6" s="10"/>
      <c r="E6" s="10"/>
      <c r="F6" s="10"/>
      <c r="G6" s="10">
        <f>596.03+1045.84+357.77</f>
        <v>1999.6399999999999</v>
      </c>
      <c r="H6" s="10"/>
      <c r="I6" s="10">
        <f t="shared" ref="I6:I18" si="0">C6+E6-G6</f>
        <v>3176.7900000000004</v>
      </c>
      <c r="J6" s="10"/>
      <c r="K6" s="3" t="s">
        <v>4</v>
      </c>
      <c r="L6" s="2" t="s">
        <v>12</v>
      </c>
    </row>
    <row r="7" spans="1:12" x14ac:dyDescent="0.25">
      <c r="A7" s="4">
        <v>2</v>
      </c>
      <c r="B7" s="9" t="s">
        <v>2</v>
      </c>
      <c r="C7" s="6">
        <v>8929.36</v>
      </c>
      <c r="D7" s="6"/>
      <c r="E7" s="6"/>
      <c r="F7" s="6"/>
      <c r="G7" s="6">
        <f>2019.32+1229.91+1829.11+1326.36</f>
        <v>6404.7</v>
      </c>
      <c r="H7" s="10"/>
      <c r="I7" s="10">
        <f t="shared" si="0"/>
        <v>2524.6600000000008</v>
      </c>
      <c r="J7" s="6"/>
      <c r="K7" s="3" t="s">
        <v>4</v>
      </c>
      <c r="L7" s="2" t="s">
        <v>12</v>
      </c>
    </row>
    <row r="8" spans="1:12" x14ac:dyDescent="0.25">
      <c r="A8" s="4">
        <v>3</v>
      </c>
      <c r="B8" s="9" t="s">
        <v>3</v>
      </c>
      <c r="C8" s="6">
        <v>6282</v>
      </c>
      <c r="D8" s="6"/>
      <c r="E8" s="6"/>
      <c r="F8" s="6"/>
      <c r="G8" s="6">
        <f>360+225+315+315</f>
        <v>1215</v>
      </c>
      <c r="H8" s="10"/>
      <c r="I8" s="10">
        <f t="shared" si="0"/>
        <v>5067</v>
      </c>
      <c r="J8" s="6"/>
      <c r="K8" s="3" t="s">
        <v>4</v>
      </c>
      <c r="L8" s="2" t="s">
        <v>12</v>
      </c>
    </row>
    <row r="9" spans="1:12" x14ac:dyDescent="0.25">
      <c r="A9" s="4">
        <v>4</v>
      </c>
      <c r="B9" s="3" t="s">
        <v>5</v>
      </c>
      <c r="C9" s="6">
        <v>26526</v>
      </c>
      <c r="D9" s="6"/>
      <c r="E9" s="6"/>
      <c r="F9" s="6"/>
      <c r="G9" s="6"/>
      <c r="H9" s="10"/>
      <c r="I9" s="10">
        <f t="shared" si="0"/>
        <v>26526</v>
      </c>
      <c r="J9" s="6"/>
      <c r="K9" s="3" t="s">
        <v>11</v>
      </c>
      <c r="L9" s="2" t="s">
        <v>13</v>
      </c>
    </row>
    <row r="10" spans="1:12" x14ac:dyDescent="0.25">
      <c r="A10" s="4">
        <v>5</v>
      </c>
      <c r="B10" s="3" t="s">
        <v>6</v>
      </c>
      <c r="C10" s="6">
        <v>2746.3000000000029</v>
      </c>
      <c r="D10" s="6"/>
      <c r="E10" s="6"/>
      <c r="F10" s="6"/>
      <c r="G10" s="6">
        <v>2746.3</v>
      </c>
      <c r="H10" s="10"/>
      <c r="I10" s="10">
        <f t="shared" si="0"/>
        <v>0</v>
      </c>
      <c r="J10" s="6"/>
      <c r="K10" s="3" t="s">
        <v>4</v>
      </c>
      <c r="L10" s="2" t="s">
        <v>13</v>
      </c>
    </row>
    <row r="11" spans="1:12" x14ac:dyDescent="0.25">
      <c r="A11" s="4">
        <v>6</v>
      </c>
      <c r="B11" s="9" t="s">
        <v>7</v>
      </c>
      <c r="C11" s="6">
        <v>19850</v>
      </c>
      <c r="D11" s="6"/>
      <c r="E11" s="6"/>
      <c r="F11" s="6"/>
      <c r="G11" s="6">
        <f>900+500+1000+800+12000</f>
        <v>15200</v>
      </c>
      <c r="H11" s="10"/>
      <c r="I11" s="10">
        <f t="shared" si="0"/>
        <v>4650</v>
      </c>
      <c r="J11" s="6"/>
      <c r="K11" s="3" t="s">
        <v>4</v>
      </c>
      <c r="L11" s="2" t="s">
        <v>12</v>
      </c>
    </row>
    <row r="12" spans="1:12" x14ac:dyDescent="0.25">
      <c r="A12" s="4">
        <v>7</v>
      </c>
      <c r="B12" s="3" t="s">
        <v>8</v>
      </c>
      <c r="C12" s="6">
        <v>15617.07</v>
      </c>
      <c r="D12" s="6"/>
      <c r="E12" s="6"/>
      <c r="F12" s="6"/>
      <c r="G12" s="6">
        <f>7597.5+3759.86</f>
        <v>11357.36</v>
      </c>
      <c r="H12" s="10"/>
      <c r="I12" s="10">
        <f t="shared" si="0"/>
        <v>4259.7099999999991</v>
      </c>
      <c r="J12" s="6"/>
      <c r="K12" s="3" t="s">
        <v>4</v>
      </c>
      <c r="L12" s="2" t="s">
        <v>14</v>
      </c>
    </row>
    <row r="13" spans="1:12" x14ac:dyDescent="0.25">
      <c r="A13" s="4">
        <v>8</v>
      </c>
      <c r="B13" s="3" t="s">
        <v>9</v>
      </c>
      <c r="C13" s="6">
        <v>17513</v>
      </c>
      <c r="D13" s="6"/>
      <c r="E13" s="6"/>
      <c r="F13" s="6"/>
      <c r="G13" s="6">
        <f>7937.5+2359.1+7216.4</f>
        <v>17513</v>
      </c>
      <c r="H13" s="10"/>
      <c r="I13" s="10">
        <f t="shared" si="0"/>
        <v>0</v>
      </c>
      <c r="J13" s="6"/>
      <c r="K13" s="3" t="s">
        <v>11</v>
      </c>
      <c r="L13" s="2" t="s">
        <v>13</v>
      </c>
    </row>
    <row r="14" spans="1:12" x14ac:dyDescent="0.25">
      <c r="A14" s="4">
        <v>9</v>
      </c>
      <c r="B14" s="3" t="s">
        <v>10</v>
      </c>
      <c r="C14" s="6">
        <v>21668.16</v>
      </c>
      <c r="D14" s="6"/>
      <c r="E14" s="6">
        <v>26730.18</v>
      </c>
      <c r="F14" s="6"/>
      <c r="G14" s="6">
        <f>11539.397+617.51+9398.36+627.71+9297.25+630.08</f>
        <v>32110.307000000001</v>
      </c>
      <c r="H14" s="10"/>
      <c r="I14" s="10">
        <f t="shared" si="0"/>
        <v>16288.032999999996</v>
      </c>
      <c r="J14" s="6"/>
      <c r="K14" s="3" t="s">
        <v>11</v>
      </c>
      <c r="L14" s="2" t="s">
        <v>15</v>
      </c>
    </row>
    <row r="15" spans="1:12" x14ac:dyDescent="0.25">
      <c r="A15" s="4">
        <v>10</v>
      </c>
      <c r="B15" s="3" t="s">
        <v>10</v>
      </c>
      <c r="C15" s="6">
        <v>23639.25</v>
      </c>
      <c r="D15" s="6"/>
      <c r="F15" s="6"/>
      <c r="G15" s="6">
        <f>1870.17+3759.86+12581.81+5427.41</f>
        <v>23639.25</v>
      </c>
      <c r="H15" s="10"/>
      <c r="I15" s="10">
        <f t="shared" si="0"/>
        <v>0</v>
      </c>
      <c r="J15" s="6"/>
      <c r="K15" s="3" t="s">
        <v>4</v>
      </c>
      <c r="L15" s="2" t="s">
        <v>16</v>
      </c>
    </row>
    <row r="16" spans="1:12" x14ac:dyDescent="0.25">
      <c r="A16" s="4">
        <v>11</v>
      </c>
      <c r="B16" s="3" t="s">
        <v>10</v>
      </c>
      <c r="C16" s="6"/>
      <c r="D16" s="6"/>
      <c r="E16" s="6">
        <v>23188.5</v>
      </c>
      <c r="F16" s="6"/>
      <c r="G16" s="6"/>
      <c r="H16" s="10"/>
      <c r="I16" s="10">
        <f t="shared" si="0"/>
        <v>23188.5</v>
      </c>
      <c r="J16" s="6"/>
      <c r="K16" s="3" t="s">
        <v>27</v>
      </c>
      <c r="L16" s="2" t="s">
        <v>26</v>
      </c>
    </row>
    <row r="17" spans="1:12" x14ac:dyDescent="0.25">
      <c r="A17" s="4"/>
      <c r="B17" s="3" t="s">
        <v>10</v>
      </c>
      <c r="C17" s="6"/>
      <c r="D17" s="6"/>
      <c r="E17" s="11">
        <v>24221.200000000001</v>
      </c>
      <c r="F17" s="6"/>
      <c r="G17" s="6"/>
      <c r="H17" s="10"/>
      <c r="I17" s="10">
        <f t="shared" si="0"/>
        <v>24221.200000000001</v>
      </c>
      <c r="J17" s="6"/>
      <c r="K17" s="3" t="s">
        <v>28</v>
      </c>
    </row>
    <row r="18" spans="1:12" x14ac:dyDescent="0.25">
      <c r="A18" s="4"/>
      <c r="B18" s="3" t="s">
        <v>29</v>
      </c>
      <c r="C18" s="13"/>
      <c r="D18" s="13"/>
      <c r="E18" s="6">
        <f>20998.9+41280.8</f>
        <v>62279.700000000004</v>
      </c>
      <c r="F18" s="13"/>
      <c r="G18" s="6">
        <f>15153.9+9022.2+13675.8+14304.7-7216.1</f>
        <v>44940.499999999993</v>
      </c>
      <c r="H18" s="10"/>
      <c r="I18" s="10">
        <f t="shared" si="0"/>
        <v>17339.200000000012</v>
      </c>
      <c r="J18" s="13"/>
      <c r="K18" s="3"/>
      <c r="L18" s="2" t="s">
        <v>30</v>
      </c>
    </row>
    <row r="19" spans="1:12" x14ac:dyDescent="0.25">
      <c r="A19" s="3"/>
      <c r="B19" s="7" t="s">
        <v>25</v>
      </c>
      <c r="C19" s="8">
        <f>SUM(C6:C18)</f>
        <v>147947.57</v>
      </c>
      <c r="D19" s="8">
        <f t="shared" ref="D19:F19" si="1">SUM(D6:D17)</f>
        <v>0</v>
      </c>
      <c r="E19" s="8">
        <f>SUM(E6:E18)</f>
        <v>136419.58000000002</v>
      </c>
      <c r="F19" s="8">
        <f t="shared" si="1"/>
        <v>0</v>
      </c>
      <c r="G19" s="8">
        <f>SUM(G6:G18)</f>
        <v>157126.057</v>
      </c>
      <c r="H19" s="8"/>
      <c r="I19" s="8">
        <f>SUM(I6:I18)</f>
        <v>127241.09300000001</v>
      </c>
      <c r="J19" s="6"/>
      <c r="K19" s="3"/>
    </row>
    <row r="20" spans="1:12" x14ac:dyDescent="0.25">
      <c r="G20" s="12" t="s">
        <v>32</v>
      </c>
      <c r="I20" s="15">
        <f>C19+E19-G19</f>
        <v>127241.09300000002</v>
      </c>
      <c r="J20" s="16" t="s">
        <v>31</v>
      </c>
      <c r="K20" s="17"/>
    </row>
    <row r="22" spans="1:12" x14ac:dyDescent="0.25">
      <c r="C22" s="15"/>
      <c r="E22" s="15"/>
      <c r="G22" s="15">
        <f>G18-I13</f>
        <v>44940.499999999993</v>
      </c>
      <c r="I22" s="2">
        <v>27113.08</v>
      </c>
    </row>
    <row r="23" spans="1:12" x14ac:dyDescent="0.25">
      <c r="E23" s="15"/>
      <c r="I23" s="2">
        <v>27988.03</v>
      </c>
    </row>
    <row r="24" spans="1:12" x14ac:dyDescent="0.25">
      <c r="I24" s="15">
        <f>SUM(I20:I23)</f>
        <v>182342.20300000001</v>
      </c>
    </row>
    <row r="25" spans="1:12" x14ac:dyDescent="0.25">
      <c r="I25" s="2">
        <f>175765.56</f>
        <v>175765.56</v>
      </c>
    </row>
    <row r="26" spans="1:12" x14ac:dyDescent="0.25">
      <c r="I26" s="15">
        <f>I24-I25</f>
        <v>6576.6430000000109</v>
      </c>
    </row>
  </sheetData>
  <mergeCells count="7">
    <mergeCell ref="K4:K5"/>
    <mergeCell ref="A4:A5"/>
    <mergeCell ref="B4:B5"/>
    <mergeCell ref="C4:D4"/>
    <mergeCell ref="E4:F4"/>
    <mergeCell ref="G4:H4"/>
    <mergeCell ref="I4:J4"/>
  </mergeCells>
  <conditionalFormatting sqref="H7:I18 D6:J6">
    <cfRule type="expression" dxfId="23" priority="1">
      <formula>AND(($N6-TODAY())&lt;90,NOT(ISBLANK($N6)))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43"/>
  <sheetViews>
    <sheetView topLeftCell="A10" zoomScale="93" zoomScaleNormal="93" workbookViewId="0">
      <selection activeCell="D23" sqref="D23:E23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129" t="s">
        <v>94</v>
      </c>
      <c r="H4" s="129"/>
    </row>
    <row r="5" spans="1:13" s="2" customFormat="1" x14ac:dyDescent="0.25"/>
    <row r="6" spans="1:13" s="2" customFormat="1" x14ac:dyDescent="0.25">
      <c r="A6" s="125" t="s">
        <v>0</v>
      </c>
      <c r="B6" s="125" t="s">
        <v>18</v>
      </c>
      <c r="C6" s="18" t="s">
        <v>34</v>
      </c>
      <c r="D6" s="127" t="s">
        <v>33</v>
      </c>
      <c r="E6" s="128"/>
      <c r="F6" s="127" t="s">
        <v>21</v>
      </c>
      <c r="G6" s="128"/>
      <c r="H6" s="127" t="s">
        <v>22</v>
      </c>
      <c r="I6" s="128"/>
      <c r="J6" s="127" t="s">
        <v>23</v>
      </c>
      <c r="K6" s="128"/>
      <c r="L6" s="125" t="s">
        <v>24</v>
      </c>
      <c r="M6" s="3"/>
    </row>
    <row r="7" spans="1:13" s="2" customFormat="1" x14ac:dyDescent="0.25">
      <c r="A7" s="126"/>
      <c r="B7" s="126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126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/>
      <c r="I8" s="51">
        <f>H8*C8</f>
        <v>0</v>
      </c>
      <c r="J8" s="44">
        <f>D8+F8-H8</f>
        <v>467.28000000000077</v>
      </c>
      <c r="K8" s="51">
        <f>E8+G8-I8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9" si="0">H9*C9</f>
        <v>0</v>
      </c>
      <c r="J9" s="44">
        <f t="shared" ref="J9:K24" si="1">D9+F9-H9</f>
        <v>5067</v>
      </c>
      <c r="K9" s="51">
        <f t="shared" si="1"/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9250</v>
      </c>
      <c r="E10" s="51">
        <v>685149600</v>
      </c>
      <c r="F10" s="22"/>
      <c r="G10" s="22"/>
      <c r="H10" s="22">
        <f>1000+500</f>
        <v>1500</v>
      </c>
      <c r="I10" s="51">
        <f t="shared" si="0"/>
        <v>106500000</v>
      </c>
      <c r="J10" s="44">
        <f t="shared" si="1"/>
        <v>7750</v>
      </c>
      <c r="K10" s="51">
        <f t="shared" si="1"/>
        <v>578649600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22">
        <v>27113.08</v>
      </c>
      <c r="E11" s="51">
        <v>1005488571.8000001</v>
      </c>
      <c r="F11" s="22"/>
      <c r="G11" s="45"/>
      <c r="H11" s="22"/>
      <c r="I11" s="51">
        <f t="shared" si="0"/>
        <v>0</v>
      </c>
      <c r="J11" s="44">
        <f t="shared" si="1"/>
        <v>27113.08</v>
      </c>
      <c r="K11" s="51">
        <f t="shared" si="1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45"/>
      <c r="H12" s="22"/>
      <c r="I12" s="51">
        <f t="shared" si="0"/>
        <v>0</v>
      </c>
      <c r="J12" s="44">
        <f t="shared" si="1"/>
        <v>19444.509999999998</v>
      </c>
      <c r="K12" s="51">
        <f t="shared" si="1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1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H14" s="59"/>
      <c r="I14" s="51">
        <f>E14</f>
        <v>0</v>
      </c>
      <c r="J14" s="44">
        <f t="shared" si="1"/>
        <v>0</v>
      </c>
      <c r="K14" s="51">
        <f t="shared" si="1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45"/>
      <c r="H15" s="22"/>
      <c r="I15" s="51">
        <f>E15</f>
        <v>0</v>
      </c>
      <c r="J15" s="44">
        <f t="shared" si="1"/>
        <v>0</v>
      </c>
      <c r="K15" s="51">
        <f t="shared" si="1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45">
        <f t="shared" ref="G16:G18" si="2">C16*F16</f>
        <v>0</v>
      </c>
      <c r="H16" s="22"/>
      <c r="I16" s="51">
        <f t="shared" si="0"/>
        <v>0</v>
      </c>
      <c r="J16" s="44"/>
      <c r="K16" s="51">
        <f t="shared" si="1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45">
        <f t="shared" si="2"/>
        <v>0</v>
      </c>
      <c r="H17" s="22"/>
      <c r="I17" s="51">
        <f t="shared" si="0"/>
        <v>0</v>
      </c>
      <c r="J17" s="44"/>
      <c r="K17" s="51">
        <f t="shared" si="1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2"/>
        <v>0</v>
      </c>
      <c r="H18" s="22"/>
      <c r="I18" s="51">
        <f t="shared" si="0"/>
        <v>0</v>
      </c>
      <c r="J18" s="44">
        <f t="shared" si="1"/>
        <v>0</v>
      </c>
      <c r="K18" s="51">
        <f t="shared" si="1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46">
        <v>38000</v>
      </c>
      <c r="D19" s="22">
        <v>0</v>
      </c>
      <c r="E19" s="51">
        <v>0</v>
      </c>
      <c r="F19" s="22"/>
      <c r="G19" s="45">
        <f>F19*C19</f>
        <v>0</v>
      </c>
      <c r="H19" s="22"/>
      <c r="I19" s="51">
        <f t="shared" si="0"/>
        <v>0</v>
      </c>
      <c r="J19" s="44">
        <f t="shared" si="1"/>
        <v>0</v>
      </c>
      <c r="K19" s="51">
        <f t="shared" si="1"/>
        <v>0</v>
      </c>
      <c r="L19" s="21"/>
      <c r="M19" s="29" t="s">
        <v>83</v>
      </c>
    </row>
    <row r="20" spans="1:16" s="29" customFormat="1" x14ac:dyDescent="0.25">
      <c r="A20" s="23">
        <v>13</v>
      </c>
      <c r="B20" s="21" t="s">
        <v>73</v>
      </c>
      <c r="C20" s="46">
        <v>38000</v>
      </c>
      <c r="D20" s="44">
        <v>0</v>
      </c>
      <c r="E20" s="51">
        <v>0</v>
      </c>
      <c r="F20" s="22"/>
      <c r="G20" s="45">
        <f t="shared" ref="G20:G21" si="3">F20*C20</f>
        <v>0</v>
      </c>
      <c r="H20" s="22"/>
      <c r="I20" s="51">
        <f>E20</f>
        <v>0</v>
      </c>
      <c r="J20" s="44">
        <f t="shared" si="1"/>
        <v>0</v>
      </c>
      <c r="K20" s="51">
        <f t="shared" si="1"/>
        <v>0</v>
      </c>
      <c r="L20" s="21"/>
      <c r="M20" s="29" t="s">
        <v>75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>
        <v>3415.9000000000015</v>
      </c>
      <c r="E21" s="51">
        <v>129804200</v>
      </c>
      <c r="F21" s="22"/>
      <c r="G21" s="45">
        <f t="shared" si="3"/>
        <v>0</v>
      </c>
      <c r="H21" s="22">
        <v>2784.6</v>
      </c>
      <c r="I21" s="51">
        <f>H21*C21</f>
        <v>105814800</v>
      </c>
      <c r="J21" s="44">
        <f t="shared" si="1"/>
        <v>631.30000000000155</v>
      </c>
      <c r="K21" s="51">
        <f t="shared" si="1"/>
        <v>23989400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67</v>
      </c>
      <c r="C22" s="46">
        <v>52500</v>
      </c>
      <c r="D22" s="22">
        <v>21174.7</v>
      </c>
      <c r="E22" s="51">
        <v>1111671750</v>
      </c>
      <c r="F22" s="22"/>
      <c r="G22" s="45"/>
      <c r="H22" s="22">
        <f>1650+5250+3000</f>
        <v>9900</v>
      </c>
      <c r="I22" s="51">
        <f t="shared" si="0"/>
        <v>519750000</v>
      </c>
      <c r="J22" s="44">
        <f>D22+F22-H22</f>
        <v>11274.7</v>
      </c>
      <c r="K22" s="51">
        <f t="shared" si="1"/>
        <v>591921750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8113.68</v>
      </c>
      <c r="E23" s="51">
        <v>401627160</v>
      </c>
      <c r="F23" s="22"/>
      <c r="G23" s="45"/>
      <c r="H23" s="22">
        <f>500+1500</f>
        <v>2000</v>
      </c>
      <c r="I23" s="51">
        <f t="shared" si="0"/>
        <v>99000000</v>
      </c>
      <c r="J23" s="44">
        <f t="shared" ref="J23:K35" si="4">D23+F23-H23</f>
        <v>6113.68</v>
      </c>
      <c r="K23" s="51">
        <f t="shared" si="1"/>
        <v>302627160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22"/>
      <c r="G24" s="45"/>
      <c r="H24" s="45"/>
      <c r="I24" s="51">
        <f t="shared" si="0"/>
        <v>0</v>
      </c>
      <c r="J24" s="44">
        <f t="shared" si="4"/>
        <v>15269.27</v>
      </c>
      <c r="K24" s="51">
        <f t="shared" si="1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82">
        <v>2825.98</v>
      </c>
      <c r="E25" s="51">
        <v>443678860</v>
      </c>
      <c r="F25" s="83"/>
      <c r="G25" s="45">
        <f>F25*C25</f>
        <v>0</v>
      </c>
      <c r="H25" s="22">
        <f>1088.51+1482.66+24.41</f>
        <v>2595.58</v>
      </c>
      <c r="I25" s="51">
        <f t="shared" si="0"/>
        <v>407506060</v>
      </c>
      <c r="J25" s="44">
        <f t="shared" si="4"/>
        <v>230.40000000000009</v>
      </c>
      <c r="K25" s="51">
        <f t="shared" si="4"/>
        <v>36172800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37000</v>
      </c>
      <c r="D26" s="82">
        <v>21096</v>
      </c>
      <c r="E26" s="51">
        <v>780552000</v>
      </c>
      <c r="F26" s="83">
        <f>21182.7</f>
        <v>21182.7</v>
      </c>
      <c r="G26" s="45">
        <f>F26*C26</f>
        <v>783759900</v>
      </c>
      <c r="H26" s="45">
        <f>12490.2+8605.8+634.4</f>
        <v>21730.400000000001</v>
      </c>
      <c r="I26" s="51">
        <f t="shared" si="0"/>
        <v>804024800</v>
      </c>
      <c r="J26" s="44">
        <f t="shared" si="4"/>
        <v>20548.299999999996</v>
      </c>
      <c r="K26" s="51">
        <f t="shared" si="4"/>
        <v>760287100</v>
      </c>
      <c r="L26" s="21"/>
      <c r="M26" s="17" t="s">
        <v>102</v>
      </c>
      <c r="N26" s="17"/>
      <c r="O26" s="17"/>
      <c r="P26" s="17"/>
    </row>
    <row r="27" spans="1:16" s="29" customFormat="1" x14ac:dyDescent="0.25">
      <c r="A27" s="23"/>
      <c r="B27" s="21" t="s">
        <v>73</v>
      </c>
      <c r="C27" s="46">
        <v>40000</v>
      </c>
      <c r="D27" s="82"/>
      <c r="E27" s="51"/>
      <c r="F27" s="83">
        <v>21100</v>
      </c>
      <c r="G27" s="45">
        <f>F27*C27</f>
        <v>844000000</v>
      </c>
      <c r="H27" s="45">
        <v>12962.61</v>
      </c>
      <c r="I27" s="51">
        <f>H27*C27</f>
        <v>518504400</v>
      </c>
      <c r="J27" s="44">
        <f t="shared" ref="J27" si="5">D27+F27-H27</f>
        <v>8137.3899999999994</v>
      </c>
      <c r="K27" s="51">
        <f t="shared" ref="K27" si="6">E27+G27-I27</f>
        <v>325495600</v>
      </c>
      <c r="L27" s="21"/>
      <c r="M27" s="17"/>
      <c r="N27" s="17"/>
      <c r="O27" s="17"/>
      <c r="P27" s="17"/>
    </row>
    <row r="28" spans="1:16" s="29" customFormat="1" x14ac:dyDescent="0.25">
      <c r="A28" s="23">
        <v>20</v>
      </c>
      <c r="B28" s="55" t="s">
        <v>88</v>
      </c>
      <c r="C28" s="76">
        <v>168000</v>
      </c>
      <c r="D28" s="77"/>
      <c r="E28" s="78">
        <v>0</v>
      </c>
      <c r="F28" s="77"/>
      <c r="G28" s="79"/>
      <c r="H28" s="79"/>
      <c r="I28" s="78">
        <f t="shared" si="0"/>
        <v>0</v>
      </c>
      <c r="J28" s="44">
        <f t="shared" si="4"/>
        <v>0</v>
      </c>
      <c r="K28" s="51">
        <f t="shared" si="4"/>
        <v>0</v>
      </c>
      <c r="L28" s="54"/>
      <c r="M28" s="81" t="s">
        <v>89</v>
      </c>
      <c r="N28" s="81"/>
      <c r="O28" s="17"/>
      <c r="P28" s="17"/>
    </row>
    <row r="29" spans="1:16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22"/>
      <c r="G29" s="45"/>
      <c r="H29" s="22"/>
      <c r="I29" s="51">
        <f t="shared" si="0"/>
        <v>0</v>
      </c>
      <c r="J29" s="44">
        <f t="shared" si="4"/>
        <v>0</v>
      </c>
      <c r="K29" s="51">
        <f t="shared" si="4"/>
        <v>0</v>
      </c>
      <c r="L29" s="21"/>
    </row>
    <row r="30" spans="1:16" s="29" customFormat="1" x14ac:dyDescent="0.25">
      <c r="A30" s="23">
        <v>22</v>
      </c>
      <c r="B30" s="54" t="s">
        <v>73</v>
      </c>
      <c r="C30" s="76">
        <v>39000</v>
      </c>
      <c r="D30" s="77"/>
      <c r="E30" s="78">
        <v>0</v>
      </c>
      <c r="F30" s="77"/>
      <c r="G30" s="79"/>
      <c r="H30" s="77"/>
      <c r="I30" s="78"/>
      <c r="J30" s="44">
        <f t="shared" si="4"/>
        <v>0</v>
      </c>
      <c r="K30" s="51">
        <f t="shared" si="4"/>
        <v>0</v>
      </c>
      <c r="L30" s="54"/>
      <c r="M30" s="81" t="s">
        <v>90</v>
      </c>
      <c r="N30" s="81"/>
      <c r="O30" s="81"/>
      <c r="P30" s="81"/>
    </row>
    <row r="31" spans="1:16" s="29" customFormat="1" x14ac:dyDescent="0.25">
      <c r="A31" s="23">
        <v>23</v>
      </c>
      <c r="B31" s="54" t="s">
        <v>73</v>
      </c>
      <c r="C31" s="76">
        <v>39000</v>
      </c>
      <c r="D31" s="77"/>
      <c r="E31" s="78">
        <v>0</v>
      </c>
      <c r="F31" s="77"/>
      <c r="G31" s="79"/>
      <c r="H31" s="77"/>
      <c r="I31" s="78"/>
      <c r="J31" s="44">
        <f t="shared" si="4"/>
        <v>0</v>
      </c>
      <c r="K31" s="51">
        <f t="shared" si="4"/>
        <v>0</v>
      </c>
      <c r="L31" s="54"/>
      <c r="M31" s="81" t="s">
        <v>91</v>
      </c>
      <c r="N31" s="81"/>
      <c r="O31" s="81"/>
      <c r="P31" s="81"/>
    </row>
    <row r="32" spans="1:16" s="29" customFormat="1" x14ac:dyDescent="0.25">
      <c r="A32" s="23">
        <v>24</v>
      </c>
      <c r="B32" s="54" t="s">
        <v>5</v>
      </c>
      <c r="C32" s="76">
        <v>48000</v>
      </c>
      <c r="D32" s="77"/>
      <c r="E32" s="78">
        <v>0</v>
      </c>
      <c r="F32" s="77"/>
      <c r="G32" s="79"/>
      <c r="H32" s="77"/>
      <c r="I32" s="78"/>
      <c r="J32" s="44">
        <f t="shared" si="4"/>
        <v>0</v>
      </c>
      <c r="K32" s="51">
        <f t="shared" si="4"/>
        <v>0</v>
      </c>
      <c r="L32" s="54"/>
      <c r="M32" s="81" t="s">
        <v>92</v>
      </c>
      <c r="N32" s="81"/>
      <c r="O32" s="81"/>
      <c r="P32" s="81"/>
    </row>
    <row r="33" spans="1:16" s="29" customFormat="1" x14ac:dyDescent="0.25">
      <c r="A33" s="23"/>
      <c r="B33" s="54" t="s">
        <v>95</v>
      </c>
      <c r="C33" s="76">
        <v>52000</v>
      </c>
      <c r="D33" s="77"/>
      <c r="E33" s="78"/>
      <c r="F33" s="77"/>
      <c r="G33" s="79"/>
      <c r="H33" s="77"/>
      <c r="I33" s="78"/>
      <c r="J33" s="44">
        <f t="shared" si="4"/>
        <v>0</v>
      </c>
      <c r="K33" s="51">
        <f t="shared" si="4"/>
        <v>0</v>
      </c>
      <c r="L33" s="54"/>
      <c r="M33" s="130" t="s">
        <v>97</v>
      </c>
      <c r="N33" s="81"/>
      <c r="O33" s="81"/>
      <c r="P33" s="81"/>
    </row>
    <row r="34" spans="1:16" s="29" customFormat="1" x14ac:dyDescent="0.25">
      <c r="A34" s="23"/>
      <c r="B34" s="54" t="s">
        <v>96</v>
      </c>
      <c r="C34" s="76">
        <v>48000</v>
      </c>
      <c r="D34" s="77"/>
      <c r="E34" s="78"/>
      <c r="F34" s="77"/>
      <c r="G34" s="79"/>
      <c r="H34" s="77"/>
      <c r="I34" s="78"/>
      <c r="J34" s="44">
        <f t="shared" si="4"/>
        <v>0</v>
      </c>
      <c r="K34" s="51">
        <f t="shared" si="4"/>
        <v>0</v>
      </c>
      <c r="L34" s="54"/>
      <c r="M34" s="130"/>
      <c r="N34" s="81"/>
      <c r="O34" s="81"/>
      <c r="P34" s="81"/>
    </row>
    <row r="35" spans="1:16" s="29" customFormat="1" x14ac:dyDescent="0.25">
      <c r="A35" s="23"/>
      <c r="B35" s="54" t="s">
        <v>98</v>
      </c>
      <c r="C35" s="76">
        <v>169500</v>
      </c>
      <c r="D35" s="77"/>
      <c r="E35" s="78"/>
      <c r="F35" s="77">
        <v>2098.48</v>
      </c>
      <c r="G35" s="79">
        <f>C35*F35</f>
        <v>355692360</v>
      </c>
      <c r="H35" s="77">
        <v>1255.45</v>
      </c>
      <c r="I35" s="78">
        <f>C35*H35</f>
        <v>212798775</v>
      </c>
      <c r="J35" s="44">
        <f t="shared" si="4"/>
        <v>843.03</v>
      </c>
      <c r="K35" s="51">
        <f t="shared" si="4"/>
        <v>142893585</v>
      </c>
      <c r="L35" s="54"/>
      <c r="N35" s="84" t="s">
        <v>99</v>
      </c>
      <c r="O35" s="81"/>
      <c r="P35" s="81"/>
    </row>
    <row r="36" spans="1:16" s="29" customFormat="1" x14ac:dyDescent="0.25">
      <c r="A36" s="23"/>
      <c r="B36" s="54" t="s">
        <v>100</v>
      </c>
      <c r="C36" s="76">
        <v>47000</v>
      </c>
      <c r="D36" s="77"/>
      <c r="E36" s="78"/>
      <c r="F36" s="77">
        <v>23174.400000000001</v>
      </c>
      <c r="G36" s="79">
        <f>F36*C36</f>
        <v>1089196800</v>
      </c>
      <c r="H36" s="77">
        <v>10662.4</v>
      </c>
      <c r="I36" s="78">
        <f>H36*C36</f>
        <v>501132800</v>
      </c>
      <c r="J36" s="44">
        <f t="shared" ref="J36" si="7">D36+F36-H36</f>
        <v>12512.000000000002</v>
      </c>
      <c r="K36" s="51">
        <f t="shared" ref="K36" si="8">E36+G36-I36</f>
        <v>588064000</v>
      </c>
      <c r="L36" s="54"/>
      <c r="M36" s="29" t="s">
        <v>101</v>
      </c>
      <c r="N36" s="84"/>
      <c r="O36" s="81"/>
      <c r="P36" s="81"/>
    </row>
    <row r="37" spans="1:16" s="64" customFormat="1" x14ac:dyDescent="0.25">
      <c r="A37" s="60"/>
      <c r="B37" s="61" t="s">
        <v>25</v>
      </c>
      <c r="C37" s="61"/>
      <c r="D37" s="62">
        <f t="shared" ref="D37:K37" si="9">SUM(D8:D36)</f>
        <v>134325.4</v>
      </c>
      <c r="E37" s="51">
        <f t="shared" si="9"/>
        <v>6473918141.8099995</v>
      </c>
      <c r="F37" s="44">
        <f t="shared" si="9"/>
        <v>67555.58</v>
      </c>
      <c r="G37" s="51">
        <f t="shared" si="9"/>
        <v>3072649060</v>
      </c>
      <c r="H37" s="44">
        <f t="shared" si="9"/>
        <v>65391.040000000001</v>
      </c>
      <c r="I37" s="51">
        <f t="shared" si="9"/>
        <v>3275031635</v>
      </c>
      <c r="J37" s="44">
        <f t="shared" si="9"/>
        <v>136489.94</v>
      </c>
      <c r="K37" s="51">
        <f t="shared" si="9"/>
        <v>6271535566.8099995</v>
      </c>
      <c r="L37" s="63"/>
    </row>
    <row r="38" spans="1:16" x14ac:dyDescent="0.25">
      <c r="D38" s="72"/>
    </row>
    <row r="39" spans="1:16" x14ac:dyDescent="0.25">
      <c r="J39" s="24"/>
    </row>
    <row r="40" spans="1:16" x14ac:dyDescent="0.25">
      <c r="E40" s="24"/>
    </row>
    <row r="43" spans="1:16" x14ac:dyDescent="0.25">
      <c r="D43" s="24"/>
    </row>
  </sheetData>
  <mergeCells count="9">
    <mergeCell ref="M33:M34"/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F37:K37 E9:E37 D20:D21 E8:K8 I9:K36">
    <cfRule type="expression" dxfId="9" priority="1">
      <formula>AND(($O8-TODAY())&lt;90,NOT(ISBLANK($O8)))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46"/>
  <sheetViews>
    <sheetView topLeftCell="A10" zoomScale="93" zoomScaleNormal="93" workbookViewId="0">
      <selection activeCell="H34" sqref="H34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129" t="s">
        <v>103</v>
      </c>
      <c r="H4" s="129"/>
    </row>
    <row r="5" spans="1:13" s="2" customFormat="1" x14ac:dyDescent="0.25"/>
    <row r="6" spans="1:13" s="2" customFormat="1" x14ac:dyDescent="0.25">
      <c r="A6" s="125" t="s">
        <v>0</v>
      </c>
      <c r="B6" s="125" t="s">
        <v>18</v>
      </c>
      <c r="C6" s="18" t="s">
        <v>34</v>
      </c>
      <c r="D6" s="127" t="s">
        <v>33</v>
      </c>
      <c r="E6" s="128"/>
      <c r="F6" s="127" t="s">
        <v>21</v>
      </c>
      <c r="G6" s="128"/>
      <c r="H6" s="127" t="s">
        <v>22</v>
      </c>
      <c r="I6" s="128"/>
      <c r="J6" s="127" t="s">
        <v>23</v>
      </c>
      <c r="K6" s="128"/>
      <c r="L6" s="125" t="s">
        <v>24</v>
      </c>
      <c r="M6" s="3"/>
    </row>
    <row r="7" spans="1:13" s="2" customFormat="1" x14ac:dyDescent="0.25">
      <c r="A7" s="126"/>
      <c r="B7" s="126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126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>
        <v>459.67</v>
      </c>
      <c r="I8" s="51">
        <f>H8*C8</f>
        <v>15169110</v>
      </c>
      <c r="J8" s="44">
        <f>D8+F8-H8</f>
        <v>7.6100000000007526</v>
      </c>
      <c r="K8" s="51">
        <f>E8+G8-I8</f>
        <v>29862452.660000026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9" si="0">H9*C9</f>
        <v>0</v>
      </c>
      <c r="J9" s="44">
        <f t="shared" ref="J9:K24" si="1">D9+F9-H9</f>
        <v>5067</v>
      </c>
      <c r="K9" s="51">
        <f t="shared" si="1"/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7750</v>
      </c>
      <c r="E10" s="51">
        <v>578649600</v>
      </c>
      <c r="F10" s="22"/>
      <c r="G10" s="22"/>
      <c r="H10" s="22">
        <f>1000+800+1000</f>
        <v>2800</v>
      </c>
      <c r="I10" s="51">
        <f t="shared" si="0"/>
        <v>198800000</v>
      </c>
      <c r="J10" s="44">
        <f t="shared" si="1"/>
        <v>4950</v>
      </c>
      <c r="K10" s="51">
        <f t="shared" si="1"/>
        <v>379849600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48000</v>
      </c>
      <c r="D11" s="22">
        <v>27113.08</v>
      </c>
      <c r="E11" s="51">
        <v>1005488571.8000001</v>
      </c>
      <c r="F11" s="22"/>
      <c r="G11" s="45"/>
      <c r="H11" s="22">
        <f>10131.61+8427.15+7376.54</f>
        <v>25935.300000000003</v>
      </c>
      <c r="I11" s="51">
        <f>H11*C11</f>
        <v>1244894400.0000002</v>
      </c>
      <c r="J11" s="44">
        <f t="shared" si="1"/>
        <v>1177.7799999999988</v>
      </c>
      <c r="K11" s="51">
        <f>E11</f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45"/>
      <c r="H12" s="22"/>
      <c r="I12" s="51">
        <f t="shared" si="0"/>
        <v>0</v>
      </c>
      <c r="J12" s="44">
        <f t="shared" si="1"/>
        <v>19444.509999999998</v>
      </c>
      <c r="K12" s="51">
        <f t="shared" si="1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1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H14" s="59"/>
      <c r="I14" s="51">
        <f>E14</f>
        <v>0</v>
      </c>
      <c r="J14" s="44">
        <f t="shared" si="1"/>
        <v>0</v>
      </c>
      <c r="K14" s="51">
        <f t="shared" si="1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45"/>
      <c r="H15" s="22"/>
      <c r="I15" s="51">
        <f>E15</f>
        <v>0</v>
      </c>
      <c r="J15" s="44">
        <f t="shared" si="1"/>
        <v>0</v>
      </c>
      <c r="K15" s="51">
        <f t="shared" si="1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45">
        <f t="shared" ref="G16:G18" si="2">C16*F16</f>
        <v>0</v>
      </c>
      <c r="H16" s="22"/>
      <c r="I16" s="51">
        <f t="shared" si="0"/>
        <v>0</v>
      </c>
      <c r="J16" s="44"/>
      <c r="K16" s="51">
        <f t="shared" si="1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45">
        <f t="shared" si="2"/>
        <v>0</v>
      </c>
      <c r="H17" s="22"/>
      <c r="I17" s="51">
        <f t="shared" si="0"/>
        <v>0</v>
      </c>
      <c r="J17" s="44"/>
      <c r="K17" s="51">
        <f t="shared" si="1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2"/>
        <v>0</v>
      </c>
      <c r="H18" s="22"/>
      <c r="I18" s="51">
        <f t="shared" si="0"/>
        <v>0</v>
      </c>
      <c r="J18" s="44">
        <f t="shared" si="1"/>
        <v>0</v>
      </c>
      <c r="K18" s="51">
        <f t="shared" si="1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85">
        <v>43500</v>
      </c>
      <c r="D19" s="22">
        <v>0</v>
      </c>
      <c r="E19" s="51">
        <v>0</v>
      </c>
      <c r="F19" s="22">
        <v>6484.1</v>
      </c>
      <c r="G19" s="45">
        <f>F19*C19</f>
        <v>282058350</v>
      </c>
      <c r="H19" s="22"/>
      <c r="I19" s="51">
        <f t="shared" si="0"/>
        <v>0</v>
      </c>
      <c r="J19" s="44">
        <f t="shared" si="1"/>
        <v>6484.1</v>
      </c>
      <c r="K19" s="51">
        <f t="shared" si="1"/>
        <v>282058350</v>
      </c>
      <c r="L19" s="21"/>
      <c r="M19" s="29" t="s">
        <v>104</v>
      </c>
    </row>
    <row r="20" spans="1:16" s="29" customFormat="1" x14ac:dyDescent="0.25">
      <c r="A20" s="23">
        <v>13</v>
      </c>
      <c r="B20" s="21" t="s">
        <v>73</v>
      </c>
      <c r="C20" s="46">
        <v>40000</v>
      </c>
      <c r="D20" s="44">
        <v>0</v>
      </c>
      <c r="E20" s="51">
        <v>0</v>
      </c>
      <c r="F20" s="22">
        <v>21391.4</v>
      </c>
      <c r="G20" s="45">
        <f t="shared" ref="G20:G21" si="3">F20*C20</f>
        <v>855656000</v>
      </c>
      <c r="H20" s="22">
        <f>175.71+10982</f>
        <v>11157.71</v>
      </c>
      <c r="I20" s="51">
        <f>C20*H20</f>
        <v>446308399.99999994</v>
      </c>
      <c r="J20" s="44">
        <f t="shared" si="1"/>
        <v>10233.690000000002</v>
      </c>
      <c r="K20" s="51">
        <f t="shared" si="1"/>
        <v>409347600.00000006</v>
      </c>
      <c r="L20" s="21"/>
      <c r="M20" s="29" t="s">
        <v>106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>
        <v>631.30000000000155</v>
      </c>
      <c r="E21" s="51">
        <v>23989400</v>
      </c>
      <c r="F21" s="22"/>
      <c r="G21" s="45">
        <f t="shared" si="3"/>
        <v>0</v>
      </c>
      <c r="H21" s="22"/>
      <c r="I21" s="51">
        <f>H21*C21</f>
        <v>0</v>
      </c>
      <c r="J21" s="44">
        <f t="shared" si="1"/>
        <v>631.30000000000155</v>
      </c>
      <c r="K21" s="51">
        <f t="shared" si="1"/>
        <v>23989400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67</v>
      </c>
      <c r="C22" s="46">
        <v>52500</v>
      </c>
      <c r="D22" s="22">
        <v>11274.7</v>
      </c>
      <c r="E22" s="51">
        <v>591921750</v>
      </c>
      <c r="F22" s="22"/>
      <c r="G22" s="45"/>
      <c r="H22" s="22">
        <f>2250+2250+2250</f>
        <v>6750</v>
      </c>
      <c r="I22" s="51">
        <f t="shared" si="0"/>
        <v>354375000</v>
      </c>
      <c r="J22" s="44">
        <f>D22+F22-H22</f>
        <v>4524.7000000000007</v>
      </c>
      <c r="K22" s="51">
        <f t="shared" si="1"/>
        <v>237546750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6113.68</v>
      </c>
      <c r="E23" s="51">
        <v>302627160</v>
      </c>
      <c r="F23" s="22"/>
      <c r="G23" s="45"/>
      <c r="H23" s="22">
        <f>1000+1000+700</f>
        <v>2700</v>
      </c>
      <c r="I23" s="51">
        <f t="shared" si="0"/>
        <v>133650000</v>
      </c>
      <c r="J23" s="44">
        <f t="shared" ref="J23:K37" si="4">D23+F23-H23</f>
        <v>3413.6800000000003</v>
      </c>
      <c r="K23" s="51">
        <f t="shared" si="1"/>
        <v>168977160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22"/>
      <c r="G24" s="45"/>
      <c r="H24" s="45"/>
      <c r="I24" s="51">
        <f t="shared" si="0"/>
        <v>0</v>
      </c>
      <c r="J24" s="44">
        <f t="shared" si="4"/>
        <v>15269.27</v>
      </c>
      <c r="K24" s="51">
        <f t="shared" si="1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82">
        <v>230.40000000000009</v>
      </c>
      <c r="E25" s="51">
        <v>36172800</v>
      </c>
      <c r="F25" s="83"/>
      <c r="G25" s="45">
        <f>F25*C25</f>
        <v>0</v>
      </c>
      <c r="H25" s="22">
        <f>230.4</f>
        <v>230.4</v>
      </c>
      <c r="I25" s="51">
        <f t="shared" si="0"/>
        <v>36172800</v>
      </c>
      <c r="J25" s="44">
        <f t="shared" si="4"/>
        <v>0</v>
      </c>
      <c r="K25" s="51">
        <f t="shared" si="4"/>
        <v>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44000</v>
      </c>
      <c r="D26" s="82">
        <v>20548.299999999996</v>
      </c>
      <c r="E26" s="51">
        <v>760287100</v>
      </c>
      <c r="F26" s="83"/>
      <c r="G26" s="45">
        <f>F26*C26</f>
        <v>0</v>
      </c>
      <c r="H26" s="22">
        <f>9494.6+658.3</f>
        <v>10152.9</v>
      </c>
      <c r="I26" s="51">
        <f t="shared" si="0"/>
        <v>446727600</v>
      </c>
      <c r="J26" s="44">
        <f t="shared" si="4"/>
        <v>10395.399999999996</v>
      </c>
      <c r="K26" s="51">
        <f t="shared" si="4"/>
        <v>313559500</v>
      </c>
      <c r="L26" s="21"/>
      <c r="M26" s="17" t="s">
        <v>102</v>
      </c>
      <c r="N26" s="17"/>
      <c r="O26" s="17"/>
      <c r="P26" s="17"/>
    </row>
    <row r="27" spans="1:16" s="29" customFormat="1" x14ac:dyDescent="0.25">
      <c r="A27" s="23"/>
      <c r="B27" s="21" t="s">
        <v>73</v>
      </c>
      <c r="C27" s="46">
        <v>40000</v>
      </c>
      <c r="D27" s="82">
        <v>8137.3899999999994</v>
      </c>
      <c r="E27" s="51">
        <v>325495600</v>
      </c>
      <c r="F27" s="83"/>
      <c r="G27" s="45">
        <f>F27*C27</f>
        <v>0</v>
      </c>
      <c r="H27" s="45">
        <f>4399.5+3737.89</f>
        <v>8137.3899999999994</v>
      </c>
      <c r="I27" s="51">
        <f>H27*C27</f>
        <v>325495600</v>
      </c>
      <c r="J27" s="44">
        <f t="shared" si="4"/>
        <v>0</v>
      </c>
      <c r="K27" s="51">
        <f t="shared" si="4"/>
        <v>0</v>
      </c>
      <c r="L27" s="21"/>
      <c r="M27" s="17"/>
      <c r="N27" s="17"/>
      <c r="O27" s="17"/>
      <c r="P27" s="17"/>
    </row>
    <row r="28" spans="1:16" s="29" customFormat="1" x14ac:dyDescent="0.25">
      <c r="A28" s="23">
        <v>20</v>
      </c>
      <c r="B28" s="55" t="s">
        <v>88</v>
      </c>
      <c r="C28" s="76">
        <v>170000</v>
      </c>
      <c r="D28" s="77">
        <v>0</v>
      </c>
      <c r="E28" s="78">
        <v>0</v>
      </c>
      <c r="F28" s="77">
        <f>2993.44+939.04</f>
        <v>3932.48</v>
      </c>
      <c r="G28" s="79">
        <f>C28*F28</f>
        <v>668521600</v>
      </c>
      <c r="H28" s="77">
        <f>1720.87+1044.26</f>
        <v>2765.13</v>
      </c>
      <c r="I28" s="78">
        <f t="shared" si="0"/>
        <v>470072100</v>
      </c>
      <c r="J28" s="44">
        <f t="shared" si="4"/>
        <v>1167.3499999999999</v>
      </c>
      <c r="K28" s="51">
        <f t="shared" si="4"/>
        <v>198449500</v>
      </c>
      <c r="L28" s="54"/>
      <c r="M28" s="81" t="s">
        <v>89</v>
      </c>
      <c r="N28" s="81"/>
      <c r="O28" s="17"/>
      <c r="P28" s="17"/>
    </row>
    <row r="29" spans="1:16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22"/>
      <c r="G29" s="45"/>
      <c r="H29" s="22"/>
      <c r="I29" s="51">
        <f t="shared" si="0"/>
        <v>0</v>
      </c>
      <c r="J29" s="44">
        <f t="shared" si="4"/>
        <v>0</v>
      </c>
      <c r="K29" s="51">
        <f t="shared" si="4"/>
        <v>0</v>
      </c>
      <c r="L29" s="21"/>
    </row>
    <row r="30" spans="1:16" s="29" customFormat="1" x14ac:dyDescent="0.25">
      <c r="A30" s="23">
        <v>22</v>
      </c>
      <c r="B30" s="54" t="s">
        <v>73</v>
      </c>
      <c r="C30" s="76">
        <v>39000</v>
      </c>
      <c r="D30" s="77">
        <v>0</v>
      </c>
      <c r="E30" s="78">
        <v>0</v>
      </c>
      <c r="F30" s="77"/>
      <c r="G30" s="79"/>
      <c r="H30" s="77"/>
      <c r="I30" s="78"/>
      <c r="J30" s="44">
        <f t="shared" si="4"/>
        <v>0</v>
      </c>
      <c r="K30" s="51">
        <f t="shared" si="4"/>
        <v>0</v>
      </c>
      <c r="L30" s="54"/>
      <c r="M30" s="81" t="s">
        <v>90</v>
      </c>
      <c r="N30" s="81"/>
      <c r="O30" s="81"/>
      <c r="P30" s="81"/>
    </row>
    <row r="31" spans="1:16" s="29" customFormat="1" x14ac:dyDescent="0.25">
      <c r="A31" s="23">
        <v>23</v>
      </c>
      <c r="B31" s="54" t="s">
        <v>73</v>
      </c>
      <c r="C31" s="76">
        <v>39000</v>
      </c>
      <c r="D31" s="77">
        <v>0</v>
      </c>
      <c r="E31" s="78">
        <v>0</v>
      </c>
      <c r="F31" s="77"/>
      <c r="G31" s="79"/>
      <c r="H31" s="77"/>
      <c r="I31" s="78"/>
      <c r="J31" s="44">
        <f t="shared" si="4"/>
        <v>0</v>
      </c>
      <c r="K31" s="51">
        <f t="shared" si="4"/>
        <v>0</v>
      </c>
      <c r="L31" s="54"/>
      <c r="M31" s="81" t="s">
        <v>91</v>
      </c>
      <c r="N31" s="81"/>
      <c r="O31" s="81"/>
      <c r="P31" s="81"/>
    </row>
    <row r="32" spans="1:16" s="29" customFormat="1" x14ac:dyDescent="0.25">
      <c r="A32" s="23">
        <v>24</v>
      </c>
      <c r="B32" s="54" t="s">
        <v>5</v>
      </c>
      <c r="C32" s="76">
        <v>48000</v>
      </c>
      <c r="D32" s="77">
        <v>0</v>
      </c>
      <c r="E32" s="78">
        <v>0</v>
      </c>
      <c r="F32" s="77"/>
      <c r="G32" s="79"/>
      <c r="H32" s="77"/>
      <c r="I32" s="78"/>
      <c r="J32" s="44">
        <f t="shared" si="4"/>
        <v>0</v>
      </c>
      <c r="K32" s="51">
        <f t="shared" si="4"/>
        <v>0</v>
      </c>
      <c r="L32" s="54"/>
      <c r="M32" s="81" t="s">
        <v>92</v>
      </c>
      <c r="N32" s="81"/>
      <c r="O32" s="81"/>
      <c r="P32" s="81"/>
    </row>
    <row r="33" spans="1:16" s="29" customFormat="1" x14ac:dyDescent="0.25">
      <c r="A33" s="23"/>
      <c r="B33" s="54" t="s">
        <v>95</v>
      </c>
      <c r="C33" s="76">
        <v>52000</v>
      </c>
      <c r="D33" s="77">
        <v>0</v>
      </c>
      <c r="E33" s="78">
        <v>0</v>
      </c>
      <c r="F33" s="77"/>
      <c r="G33" s="79"/>
      <c r="H33" s="77"/>
      <c r="I33" s="78"/>
      <c r="J33" s="44">
        <f t="shared" si="4"/>
        <v>0</v>
      </c>
      <c r="K33" s="51">
        <f t="shared" si="4"/>
        <v>0</v>
      </c>
      <c r="L33" s="54"/>
      <c r="M33" s="130" t="s">
        <v>97</v>
      </c>
      <c r="N33" s="81"/>
      <c r="O33" s="81"/>
      <c r="P33" s="81"/>
    </row>
    <row r="34" spans="1:16" s="29" customFormat="1" x14ac:dyDescent="0.25">
      <c r="A34" s="23"/>
      <c r="B34" s="54" t="s">
        <v>96</v>
      </c>
      <c r="C34" s="76">
        <v>48000</v>
      </c>
      <c r="D34" s="77">
        <v>0</v>
      </c>
      <c r="E34" s="78">
        <v>0</v>
      </c>
      <c r="F34" s="77"/>
      <c r="G34" s="79"/>
      <c r="H34" s="77"/>
      <c r="I34" s="78"/>
      <c r="J34" s="44">
        <f t="shared" si="4"/>
        <v>0</v>
      </c>
      <c r="K34" s="51">
        <f t="shared" si="4"/>
        <v>0</v>
      </c>
      <c r="L34" s="54"/>
      <c r="M34" s="130"/>
      <c r="N34" s="81"/>
      <c r="O34" s="81"/>
      <c r="P34" s="81"/>
    </row>
    <row r="35" spans="1:16" s="29" customFormat="1" x14ac:dyDescent="0.25">
      <c r="A35" s="23"/>
      <c r="B35" s="54" t="s">
        <v>98</v>
      </c>
      <c r="C35" s="76">
        <v>169500</v>
      </c>
      <c r="D35" s="77">
        <v>843.03</v>
      </c>
      <c r="E35" s="78">
        <v>142893585</v>
      </c>
      <c r="F35" s="77">
        <v>950.08</v>
      </c>
      <c r="G35" s="79">
        <f>C35*F35</f>
        <v>161038560</v>
      </c>
      <c r="H35" s="77">
        <v>991.9</v>
      </c>
      <c r="I35" s="78">
        <f>C35*H35</f>
        <v>168127050</v>
      </c>
      <c r="J35" s="44">
        <f t="shared" si="4"/>
        <v>801.21000000000015</v>
      </c>
      <c r="K35" s="51">
        <f t="shared" si="4"/>
        <v>135805095</v>
      </c>
      <c r="L35" s="54"/>
      <c r="N35" s="84" t="s">
        <v>99</v>
      </c>
      <c r="O35" s="81"/>
      <c r="P35" s="81"/>
    </row>
    <row r="36" spans="1:16" s="29" customFormat="1" x14ac:dyDescent="0.25">
      <c r="A36" s="23"/>
      <c r="B36" s="54" t="s">
        <v>100</v>
      </c>
      <c r="C36" s="76">
        <v>47000</v>
      </c>
      <c r="D36" s="77">
        <v>12512.000000000002</v>
      </c>
      <c r="E36" s="78">
        <v>588064000</v>
      </c>
      <c r="F36" s="77"/>
      <c r="G36" s="79">
        <f>F36*C36</f>
        <v>0</v>
      </c>
      <c r="H36" s="77"/>
      <c r="I36" s="78">
        <f>H36*C36</f>
        <v>0</v>
      </c>
      <c r="J36" s="44">
        <f t="shared" si="4"/>
        <v>12512.000000000002</v>
      </c>
      <c r="K36" s="51">
        <f t="shared" si="4"/>
        <v>588064000</v>
      </c>
      <c r="L36" s="54"/>
      <c r="M36" s="29" t="s">
        <v>101</v>
      </c>
      <c r="N36" s="84"/>
      <c r="O36" s="81"/>
      <c r="P36" s="81"/>
    </row>
    <row r="37" spans="1:16" s="29" customFormat="1" x14ac:dyDescent="0.25">
      <c r="A37" s="23"/>
      <c r="B37" s="54" t="s">
        <v>105</v>
      </c>
      <c r="C37" s="76">
        <v>29470</v>
      </c>
      <c r="D37" s="77"/>
      <c r="E37" s="78"/>
      <c r="F37" s="77">
        <v>22500</v>
      </c>
      <c r="G37" s="79">
        <f>F37*C37</f>
        <v>663075000</v>
      </c>
      <c r="H37" s="77">
        <v>750</v>
      </c>
      <c r="I37" s="78">
        <f>H37*C37</f>
        <v>22102500</v>
      </c>
      <c r="J37" s="44">
        <f t="shared" si="4"/>
        <v>21750</v>
      </c>
      <c r="K37" s="51">
        <f t="shared" si="4"/>
        <v>640972500</v>
      </c>
      <c r="L37" s="54"/>
      <c r="M37" s="29" t="s">
        <v>108</v>
      </c>
      <c r="N37" s="84"/>
      <c r="O37" s="81"/>
      <c r="P37" s="81"/>
    </row>
    <row r="38" spans="1:16" s="29" customFormat="1" x14ac:dyDescent="0.25">
      <c r="A38" s="23"/>
      <c r="B38" s="21" t="s">
        <v>73</v>
      </c>
      <c r="C38" s="76">
        <v>41500</v>
      </c>
      <c r="D38" s="77"/>
      <c r="E38" s="78"/>
      <c r="F38" s="77">
        <f>9472.2+3541</f>
        <v>13013.2</v>
      </c>
      <c r="G38" s="79">
        <f>C38*F38</f>
        <v>540047800</v>
      </c>
      <c r="H38" s="77"/>
      <c r="I38" s="78"/>
      <c r="J38" s="44">
        <f>D38+F38-H38</f>
        <v>13013.2</v>
      </c>
      <c r="K38" s="51">
        <f>J38*C38</f>
        <v>540047800</v>
      </c>
      <c r="L38" s="54"/>
      <c r="N38" s="84"/>
      <c r="O38" s="81"/>
      <c r="P38" s="81"/>
    </row>
    <row r="39" spans="1:16" s="29" customFormat="1" x14ac:dyDescent="0.25">
      <c r="A39" s="23"/>
      <c r="B39" s="21" t="s">
        <v>73</v>
      </c>
      <c r="C39" s="76">
        <v>42000</v>
      </c>
      <c r="D39" s="77"/>
      <c r="E39" s="78"/>
      <c r="F39" s="77">
        <v>21287.5</v>
      </c>
      <c r="G39" s="79">
        <f>F39*C39</f>
        <v>894075000</v>
      </c>
      <c r="H39" s="77"/>
      <c r="I39" s="78"/>
      <c r="J39" s="44">
        <f>D39+F39-H39</f>
        <v>21287.5</v>
      </c>
      <c r="K39" s="51">
        <f>J39*C39</f>
        <v>894075000</v>
      </c>
      <c r="L39" s="54"/>
      <c r="N39" s="84"/>
      <c r="O39" s="81"/>
      <c r="P39" s="81"/>
    </row>
    <row r="40" spans="1:16" s="64" customFormat="1" x14ac:dyDescent="0.25">
      <c r="A40" s="60"/>
      <c r="B40" s="61" t="s">
        <v>25</v>
      </c>
      <c r="C40" s="61"/>
      <c r="D40" s="62">
        <f>SUM(D8:D39)</f>
        <v>136489.94</v>
      </c>
      <c r="E40" s="51">
        <v>6271535566.8099995</v>
      </c>
      <c r="F40" s="44">
        <f t="shared" ref="F40:K40" si="5">SUM(F8:F39)</f>
        <v>89558.76</v>
      </c>
      <c r="G40" s="44">
        <f t="shared" si="5"/>
        <v>4064472310</v>
      </c>
      <c r="H40" s="44">
        <f t="shared" si="5"/>
        <v>72830.399999999994</v>
      </c>
      <c r="I40" s="51">
        <f t="shared" si="5"/>
        <v>3861894560</v>
      </c>
      <c r="J40" s="44">
        <f t="shared" si="5"/>
        <v>153218.30000000002</v>
      </c>
      <c r="K40" s="51">
        <f t="shared" si="5"/>
        <v>7719007716.8099995</v>
      </c>
      <c r="L40" s="63"/>
    </row>
    <row r="41" spans="1:16" x14ac:dyDescent="0.25">
      <c r="D41" s="72"/>
      <c r="I41" s="51">
        <v>2270226020</v>
      </c>
    </row>
    <row r="42" spans="1:16" x14ac:dyDescent="0.25">
      <c r="J42" s="24"/>
    </row>
    <row r="43" spans="1:16" x14ac:dyDescent="0.25">
      <c r="E43" s="24"/>
      <c r="I43" s="72">
        <f>I40-I41</f>
        <v>1591668540</v>
      </c>
    </row>
    <row r="45" spans="1:16" x14ac:dyDescent="0.25">
      <c r="H45" s="24"/>
    </row>
    <row r="46" spans="1:16" x14ac:dyDescent="0.25">
      <c r="D46" s="24"/>
    </row>
  </sheetData>
  <mergeCells count="9">
    <mergeCell ref="J6:K6"/>
    <mergeCell ref="L6:L7"/>
    <mergeCell ref="M33:M34"/>
    <mergeCell ref="G4:H4"/>
    <mergeCell ref="A6:A7"/>
    <mergeCell ref="B6:B7"/>
    <mergeCell ref="D6:E6"/>
    <mergeCell ref="F6:G6"/>
    <mergeCell ref="H6:I6"/>
  </mergeCells>
  <conditionalFormatting sqref="E9:E40 D20:D21 E8:K8 F40:K40 I9:K39">
    <cfRule type="expression" dxfId="8" priority="2">
      <formula>AND(($O8-TODAY())&lt;90,NOT(ISBLANK($O8)))</formula>
    </cfRule>
  </conditionalFormatting>
  <conditionalFormatting sqref="I41">
    <cfRule type="expression" dxfId="7" priority="1">
      <formula>AND(($O41-TODAY())&lt;90,NOT(ISBLANK($O41)))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49"/>
  <sheetViews>
    <sheetView topLeftCell="A4" zoomScale="93" zoomScaleNormal="93" workbookViewId="0">
      <pane ySplit="4" topLeftCell="A8" activePane="bottomLeft" state="frozen"/>
      <selection activeCell="A4" sqref="A4"/>
      <selection pane="bottomLeft" activeCell="A20" sqref="A20:XFD20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7" width="14.5703125" customWidth="1"/>
    <col min="8" max="8" width="17.85546875" customWidth="1"/>
    <col min="9" max="10" width="13.85546875" customWidth="1"/>
    <col min="11" max="11" width="19.5703125" customWidth="1"/>
    <col min="12" max="12" width="14.140625" customWidth="1"/>
    <col min="13" max="13" width="19.140625" customWidth="1"/>
  </cols>
  <sheetData>
    <row r="3" spans="1:15" x14ac:dyDescent="0.25">
      <c r="F3" s="1" t="s">
        <v>17</v>
      </c>
      <c r="G3" s="1"/>
      <c r="H3" s="2"/>
    </row>
    <row r="4" spans="1:15" s="2" customFormat="1" x14ac:dyDescent="0.25">
      <c r="H4" s="129" t="s">
        <v>109</v>
      </c>
      <c r="I4" s="129"/>
      <c r="J4" s="89"/>
    </row>
    <row r="5" spans="1:15" s="2" customFormat="1" x14ac:dyDescent="0.25"/>
    <row r="6" spans="1:15" s="1" customFormat="1" ht="14.25" x14ac:dyDescent="0.2">
      <c r="A6" s="133" t="s">
        <v>0</v>
      </c>
      <c r="B6" s="133" t="s">
        <v>18</v>
      </c>
      <c r="C6" s="92" t="s">
        <v>34</v>
      </c>
      <c r="D6" s="131" t="s">
        <v>33</v>
      </c>
      <c r="E6" s="132"/>
      <c r="F6" s="131" t="s">
        <v>21</v>
      </c>
      <c r="G6" s="135"/>
      <c r="H6" s="132"/>
      <c r="I6" s="131" t="s">
        <v>22</v>
      </c>
      <c r="J6" s="135"/>
      <c r="K6" s="132"/>
      <c r="L6" s="131" t="s">
        <v>23</v>
      </c>
      <c r="M6" s="132"/>
      <c r="N6" s="133" t="s">
        <v>24</v>
      </c>
      <c r="O6" s="93"/>
    </row>
    <row r="7" spans="1:15" s="1" customFormat="1" ht="14.25" x14ac:dyDescent="0.2">
      <c r="A7" s="134"/>
      <c r="B7" s="134"/>
      <c r="C7" s="94" t="s">
        <v>57</v>
      </c>
      <c r="D7" s="95"/>
      <c r="E7" s="95"/>
      <c r="F7" s="96" t="s">
        <v>19</v>
      </c>
      <c r="G7" s="96" t="s">
        <v>34</v>
      </c>
      <c r="H7" s="96" t="s">
        <v>20</v>
      </c>
      <c r="I7" s="96" t="s">
        <v>19</v>
      </c>
      <c r="J7" s="96" t="s">
        <v>124</v>
      </c>
      <c r="K7" s="96" t="s">
        <v>20</v>
      </c>
      <c r="L7" s="97" t="s">
        <v>19</v>
      </c>
      <c r="M7" s="95" t="s">
        <v>20</v>
      </c>
      <c r="N7" s="134"/>
      <c r="O7" s="93"/>
    </row>
    <row r="8" spans="1:15" s="29" customFormat="1" x14ac:dyDescent="0.25">
      <c r="A8" s="23">
        <v>1</v>
      </c>
      <c r="B8" s="21" t="s">
        <v>1</v>
      </c>
      <c r="C8" s="46">
        <v>33000</v>
      </c>
      <c r="D8" s="22">
        <v>7.6100000000007526</v>
      </c>
      <c r="E8" s="51">
        <v>29862452.660000026</v>
      </c>
      <c r="F8" s="44"/>
      <c r="G8" s="44"/>
      <c r="H8" s="44"/>
      <c r="I8" s="44"/>
      <c r="J8" s="44"/>
      <c r="K8" s="51">
        <f>I8*C8</f>
        <v>0</v>
      </c>
      <c r="L8" s="44">
        <f t="shared" ref="L8:L15" si="0">D8+F8-I8</f>
        <v>7.6100000000007526</v>
      </c>
      <c r="M8" s="51">
        <f>E8+H8-K8</f>
        <v>29862452.660000026</v>
      </c>
      <c r="N8" s="21"/>
      <c r="O8" s="21" t="s">
        <v>41</v>
      </c>
    </row>
    <row r="9" spans="1:15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22"/>
      <c r="J9" s="22"/>
      <c r="K9" s="51">
        <f t="shared" ref="K9:K29" si="1">I9*C9</f>
        <v>0</v>
      </c>
      <c r="L9" s="44">
        <f t="shared" si="0"/>
        <v>5067</v>
      </c>
      <c r="M9" s="51">
        <f>E9+H9-K9</f>
        <v>263484000</v>
      </c>
      <c r="N9" s="21"/>
      <c r="O9" s="21" t="s">
        <v>41</v>
      </c>
    </row>
    <row r="10" spans="1:15" s="29" customFormat="1" x14ac:dyDescent="0.25">
      <c r="A10" s="23">
        <v>3</v>
      </c>
      <c r="B10" s="21" t="s">
        <v>7</v>
      </c>
      <c r="C10" s="46">
        <v>71000</v>
      </c>
      <c r="D10" s="22">
        <v>4950</v>
      </c>
      <c r="E10" s="51">
        <v>379849600</v>
      </c>
      <c r="F10" s="22"/>
      <c r="G10" s="22"/>
      <c r="H10" s="22"/>
      <c r="I10" s="22"/>
      <c r="J10" s="22"/>
      <c r="K10" s="51">
        <f t="shared" si="1"/>
        <v>0</v>
      </c>
      <c r="L10" s="44">
        <f t="shared" si="0"/>
        <v>4950</v>
      </c>
      <c r="M10" s="51">
        <f>E10+H10-K10</f>
        <v>379849600</v>
      </c>
      <c r="N10" s="21"/>
      <c r="O10" s="21" t="s">
        <v>41</v>
      </c>
    </row>
    <row r="11" spans="1:15" s="29" customFormat="1" x14ac:dyDescent="0.25">
      <c r="A11" s="23">
        <v>4</v>
      </c>
      <c r="B11" s="21" t="s">
        <v>5</v>
      </c>
      <c r="C11" s="46">
        <v>48000</v>
      </c>
      <c r="D11" s="22">
        <v>1177.7799999999988</v>
      </c>
      <c r="E11" s="51">
        <v>1005488571.8000001</v>
      </c>
      <c r="F11" s="22"/>
      <c r="G11" s="22"/>
      <c r="H11" s="45"/>
      <c r="I11" s="22"/>
      <c r="J11" s="22"/>
      <c r="K11" s="51">
        <f>I11*C11</f>
        <v>0</v>
      </c>
      <c r="L11" s="44">
        <f t="shared" si="0"/>
        <v>1177.7799999999988</v>
      </c>
      <c r="M11" s="51">
        <f>E11</f>
        <v>1005488571.8000001</v>
      </c>
      <c r="N11" s="47"/>
      <c r="O11" s="21" t="s">
        <v>80</v>
      </c>
    </row>
    <row r="12" spans="1:15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22"/>
      <c r="H12" s="45"/>
      <c r="I12" s="22"/>
      <c r="J12" s="22"/>
      <c r="K12" s="51">
        <f t="shared" si="1"/>
        <v>0</v>
      </c>
      <c r="L12" s="44">
        <f t="shared" si="0"/>
        <v>19444.509999999998</v>
      </c>
      <c r="M12" s="51">
        <f t="shared" ref="M12:M37" si="2">E12+H12-K12</f>
        <v>721099653.3499999</v>
      </c>
      <c r="N12" s="21"/>
      <c r="O12" s="21" t="s">
        <v>80</v>
      </c>
    </row>
    <row r="13" spans="1:15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22"/>
      <c r="H13" s="45">
        <f>F13*C13</f>
        <v>0</v>
      </c>
      <c r="I13" s="22"/>
      <c r="J13" s="22"/>
      <c r="K13" s="51">
        <f t="shared" si="1"/>
        <v>0</v>
      </c>
      <c r="L13" s="44">
        <f t="shared" si="0"/>
        <v>1088</v>
      </c>
      <c r="M13" s="51">
        <f t="shared" si="2"/>
        <v>153405824</v>
      </c>
      <c r="N13" s="21"/>
      <c r="O13" s="21" t="s">
        <v>47</v>
      </c>
    </row>
    <row r="14" spans="1:15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I14" s="59"/>
      <c r="J14" s="59"/>
      <c r="K14" s="51">
        <f>E14</f>
        <v>0</v>
      </c>
      <c r="L14" s="44">
        <f t="shared" si="0"/>
        <v>0</v>
      </c>
      <c r="M14" s="51">
        <f t="shared" si="2"/>
        <v>0</v>
      </c>
      <c r="N14" s="49"/>
      <c r="O14" s="21" t="s">
        <v>48</v>
      </c>
    </row>
    <row r="15" spans="1:15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22"/>
      <c r="H15" s="45"/>
      <c r="I15" s="22"/>
      <c r="J15" s="22"/>
      <c r="K15" s="51">
        <f>E15</f>
        <v>0</v>
      </c>
      <c r="L15" s="44">
        <f t="shared" si="0"/>
        <v>0</v>
      </c>
      <c r="M15" s="51">
        <f t="shared" si="2"/>
        <v>0</v>
      </c>
      <c r="N15" s="21"/>
      <c r="O15" s="21" t="s">
        <v>81</v>
      </c>
    </row>
    <row r="16" spans="1:15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22"/>
      <c r="H16" s="45">
        <f t="shared" ref="H16:H18" si="3">C16*F16</f>
        <v>0</v>
      </c>
      <c r="I16" s="22"/>
      <c r="J16" s="22"/>
      <c r="K16" s="51">
        <f t="shared" si="1"/>
        <v>0</v>
      </c>
      <c r="L16" s="44"/>
      <c r="M16" s="51">
        <f t="shared" si="2"/>
        <v>0</v>
      </c>
      <c r="N16" s="21"/>
      <c r="O16" s="29" t="s">
        <v>68</v>
      </c>
    </row>
    <row r="17" spans="1:18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22"/>
      <c r="H17" s="45">
        <f t="shared" si="3"/>
        <v>0</v>
      </c>
      <c r="I17" s="22"/>
      <c r="J17" s="22"/>
      <c r="K17" s="51">
        <f t="shared" si="1"/>
        <v>0</v>
      </c>
      <c r="L17" s="44"/>
      <c r="M17" s="51">
        <f t="shared" si="2"/>
        <v>0</v>
      </c>
      <c r="N17" s="21"/>
    </row>
    <row r="18" spans="1:18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22"/>
      <c r="H18" s="45">
        <f t="shared" si="3"/>
        <v>0</v>
      </c>
      <c r="I18" s="22"/>
      <c r="J18" s="22"/>
      <c r="K18" s="51">
        <f t="shared" si="1"/>
        <v>0</v>
      </c>
      <c r="L18" s="44">
        <f t="shared" ref="L18:L42" si="4">D18+F18-I18</f>
        <v>0</v>
      </c>
      <c r="M18" s="51">
        <f t="shared" si="2"/>
        <v>0</v>
      </c>
      <c r="N18" s="21"/>
    </row>
    <row r="19" spans="1:18" s="29" customFormat="1" x14ac:dyDescent="0.25">
      <c r="A19" s="23">
        <v>12</v>
      </c>
      <c r="B19" s="21" t="s">
        <v>73</v>
      </c>
      <c r="C19" s="85">
        <v>43500</v>
      </c>
      <c r="D19" s="22">
        <v>6484.1</v>
      </c>
      <c r="E19" s="51">
        <v>282058350</v>
      </c>
      <c r="F19" s="22"/>
      <c r="G19" s="22"/>
      <c r="H19" s="45">
        <f>F19*C19</f>
        <v>0</v>
      </c>
      <c r="I19" s="22"/>
      <c r="J19" s="22"/>
      <c r="K19" s="51">
        <f t="shared" si="1"/>
        <v>0</v>
      </c>
      <c r="L19" s="44">
        <f t="shared" si="4"/>
        <v>6484.1</v>
      </c>
      <c r="M19" s="51">
        <f t="shared" si="2"/>
        <v>282058350</v>
      </c>
      <c r="N19" s="21"/>
      <c r="O19" s="29" t="s">
        <v>104</v>
      </c>
    </row>
    <row r="20" spans="1:18" s="29" customFormat="1" x14ac:dyDescent="0.25">
      <c r="A20" s="23">
        <v>13</v>
      </c>
      <c r="B20" s="21" t="s">
        <v>73</v>
      </c>
      <c r="C20" s="46">
        <v>40000</v>
      </c>
      <c r="D20" s="44">
        <v>10233.690000000002</v>
      </c>
      <c r="E20" s="51">
        <v>409347600.00000006</v>
      </c>
      <c r="F20" s="83"/>
      <c r="G20" s="45"/>
      <c r="H20" s="45">
        <f t="shared" ref="H20:H21" si="5">F20*C20</f>
        <v>0</v>
      </c>
      <c r="I20" s="22"/>
      <c r="J20" s="22"/>
      <c r="K20" s="51">
        <f>C20*I20</f>
        <v>0</v>
      </c>
      <c r="L20" s="44">
        <f t="shared" si="4"/>
        <v>10233.690000000002</v>
      </c>
      <c r="M20" s="51">
        <f t="shared" si="2"/>
        <v>409347600.00000006</v>
      </c>
      <c r="N20" s="21"/>
      <c r="O20" s="29" t="s">
        <v>106</v>
      </c>
    </row>
    <row r="21" spans="1:18" s="29" customFormat="1" x14ac:dyDescent="0.25">
      <c r="A21" s="23">
        <v>14</v>
      </c>
      <c r="B21" s="21" t="s">
        <v>73</v>
      </c>
      <c r="C21" s="46">
        <v>38000</v>
      </c>
      <c r="D21" s="44">
        <v>631.30000000000155</v>
      </c>
      <c r="E21" s="51">
        <v>23989400</v>
      </c>
      <c r="F21" s="83"/>
      <c r="G21" s="45"/>
      <c r="H21" s="45">
        <f t="shared" si="5"/>
        <v>0</v>
      </c>
      <c r="I21" s="22"/>
      <c r="J21" s="22"/>
      <c r="K21" s="51">
        <f>I21*C21</f>
        <v>0</v>
      </c>
      <c r="L21" s="44">
        <f t="shared" si="4"/>
        <v>631.30000000000155</v>
      </c>
      <c r="M21" s="51">
        <f t="shared" si="2"/>
        <v>23989400</v>
      </c>
      <c r="N21" s="21"/>
      <c r="O21" s="29" t="s">
        <v>85</v>
      </c>
    </row>
    <row r="22" spans="1:18" s="29" customFormat="1" x14ac:dyDescent="0.25">
      <c r="A22" s="23">
        <v>15</v>
      </c>
      <c r="B22" s="73" t="s">
        <v>67</v>
      </c>
      <c r="C22" s="46">
        <v>52500</v>
      </c>
      <c r="D22" s="22">
        <v>4524.7000000000007</v>
      </c>
      <c r="E22" s="51">
        <v>237546750</v>
      </c>
      <c r="F22" s="83"/>
      <c r="G22" s="45"/>
      <c r="H22" s="45"/>
      <c r="I22" s="22"/>
      <c r="J22" s="22"/>
      <c r="K22" s="51">
        <f t="shared" si="1"/>
        <v>0</v>
      </c>
      <c r="L22" s="44">
        <f t="shared" si="4"/>
        <v>4524.7000000000007</v>
      </c>
      <c r="M22" s="51">
        <f t="shared" si="2"/>
        <v>237546750</v>
      </c>
      <c r="N22" s="21"/>
      <c r="O22" s="17" t="s">
        <v>86</v>
      </c>
      <c r="P22" s="17"/>
      <c r="Q22" s="17"/>
      <c r="R22" s="17"/>
    </row>
    <row r="23" spans="1:18" s="29" customFormat="1" x14ac:dyDescent="0.25">
      <c r="A23" s="23">
        <v>16</v>
      </c>
      <c r="B23" s="73" t="s">
        <v>63</v>
      </c>
      <c r="C23" s="46">
        <v>49500</v>
      </c>
      <c r="D23" s="22">
        <v>3413.6800000000003</v>
      </c>
      <c r="E23" s="51">
        <v>168977160</v>
      </c>
      <c r="F23" s="83"/>
      <c r="G23" s="45"/>
      <c r="H23" s="45"/>
      <c r="I23" s="22"/>
      <c r="J23" s="22"/>
      <c r="K23" s="51">
        <f t="shared" si="1"/>
        <v>0</v>
      </c>
      <c r="L23" s="44">
        <f t="shared" si="4"/>
        <v>3413.6800000000003</v>
      </c>
      <c r="M23" s="51">
        <f t="shared" si="2"/>
        <v>168977160</v>
      </c>
      <c r="N23" s="21"/>
      <c r="O23" s="17" t="s">
        <v>78</v>
      </c>
      <c r="P23" s="17"/>
      <c r="Q23" s="17"/>
      <c r="R23" s="17"/>
    </row>
    <row r="24" spans="1:18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83"/>
      <c r="G24" s="45"/>
      <c r="H24" s="45"/>
      <c r="I24" s="45"/>
      <c r="J24" s="45"/>
      <c r="K24" s="51">
        <f t="shared" si="1"/>
        <v>0</v>
      </c>
      <c r="L24" s="44">
        <f t="shared" si="4"/>
        <v>15269.27</v>
      </c>
      <c r="M24" s="51">
        <f t="shared" si="2"/>
        <v>732924960</v>
      </c>
      <c r="N24" s="21"/>
      <c r="O24" s="17" t="s">
        <v>78</v>
      </c>
      <c r="P24" s="17"/>
      <c r="Q24" s="17"/>
      <c r="R24" s="17"/>
    </row>
    <row r="25" spans="1:18" s="29" customFormat="1" x14ac:dyDescent="0.25">
      <c r="A25" s="23">
        <v>18</v>
      </c>
      <c r="B25" s="73" t="s">
        <v>76</v>
      </c>
      <c r="C25" s="46">
        <v>157000</v>
      </c>
      <c r="D25" s="82">
        <v>0</v>
      </c>
      <c r="E25" s="51">
        <v>0</v>
      </c>
      <c r="F25" s="83"/>
      <c r="G25" s="45"/>
      <c r="H25" s="45">
        <f>F25*C25</f>
        <v>0</v>
      </c>
      <c r="I25" s="22"/>
      <c r="J25" s="22"/>
      <c r="K25" s="51">
        <f t="shared" si="1"/>
        <v>0</v>
      </c>
      <c r="L25" s="44">
        <f t="shared" si="4"/>
        <v>0</v>
      </c>
      <c r="M25" s="51">
        <f t="shared" si="2"/>
        <v>0</v>
      </c>
      <c r="N25" s="21"/>
      <c r="O25" s="17" t="s">
        <v>87</v>
      </c>
      <c r="P25" s="17"/>
      <c r="Q25" s="17"/>
      <c r="R25" s="17"/>
    </row>
    <row r="26" spans="1:18" s="29" customFormat="1" x14ac:dyDescent="0.25">
      <c r="A26" s="23">
        <v>19</v>
      </c>
      <c r="B26" s="21" t="s">
        <v>73</v>
      </c>
      <c r="C26" s="46">
        <v>44000</v>
      </c>
      <c r="D26" s="82">
        <v>10395.399999999996</v>
      </c>
      <c r="E26" s="51">
        <v>313559500</v>
      </c>
      <c r="F26" s="83"/>
      <c r="G26" s="45"/>
      <c r="H26" s="45">
        <f>F26*C26</f>
        <v>0</v>
      </c>
      <c r="I26" s="22"/>
      <c r="J26" s="22"/>
      <c r="K26" s="51">
        <f t="shared" si="1"/>
        <v>0</v>
      </c>
      <c r="L26" s="44">
        <f t="shared" si="4"/>
        <v>10395.399999999996</v>
      </c>
      <c r="M26" s="51">
        <f t="shared" si="2"/>
        <v>313559500</v>
      </c>
      <c r="N26" s="21"/>
      <c r="O26" s="17" t="s">
        <v>102</v>
      </c>
      <c r="P26" s="17"/>
      <c r="Q26" s="17"/>
      <c r="R26" s="17"/>
    </row>
    <row r="27" spans="1:18" s="29" customFormat="1" x14ac:dyDescent="0.25">
      <c r="A27" s="23"/>
      <c r="B27" s="21" t="s">
        <v>73</v>
      </c>
      <c r="C27" s="46">
        <v>40000</v>
      </c>
      <c r="D27" s="82">
        <v>0</v>
      </c>
      <c r="E27" s="51">
        <v>0</v>
      </c>
      <c r="F27" s="83"/>
      <c r="G27" s="45"/>
      <c r="H27" s="45">
        <f>F27*C27</f>
        <v>0</v>
      </c>
      <c r="I27" s="45"/>
      <c r="J27" s="45"/>
      <c r="K27" s="51">
        <f>I27*C27</f>
        <v>0</v>
      </c>
      <c r="L27" s="44">
        <f t="shared" si="4"/>
        <v>0</v>
      </c>
      <c r="M27" s="51">
        <f t="shared" si="2"/>
        <v>0</v>
      </c>
      <c r="N27" s="21"/>
      <c r="O27" s="17"/>
      <c r="P27" s="17"/>
      <c r="Q27" s="17"/>
      <c r="R27" s="17"/>
    </row>
    <row r="28" spans="1:18" s="29" customFormat="1" x14ac:dyDescent="0.25">
      <c r="A28" s="23">
        <v>20</v>
      </c>
      <c r="B28" s="55" t="s">
        <v>88</v>
      </c>
      <c r="C28" s="76">
        <v>170000</v>
      </c>
      <c r="D28" s="77">
        <v>1167.3499999999999</v>
      </c>
      <c r="E28" s="78">
        <v>198449500</v>
      </c>
      <c r="F28" s="91"/>
      <c r="G28" s="79"/>
      <c r="H28" s="79">
        <f>C28*F28</f>
        <v>0</v>
      </c>
      <c r="I28" s="77"/>
      <c r="J28" s="77"/>
      <c r="K28" s="78">
        <f t="shared" si="1"/>
        <v>0</v>
      </c>
      <c r="L28" s="44">
        <f t="shared" si="4"/>
        <v>1167.3499999999999</v>
      </c>
      <c r="M28" s="51">
        <f t="shared" si="2"/>
        <v>198449500</v>
      </c>
      <c r="N28" s="54"/>
      <c r="O28" s="81" t="s">
        <v>89</v>
      </c>
      <c r="P28" s="81"/>
      <c r="Q28" s="17"/>
      <c r="R28" s="17"/>
    </row>
    <row r="29" spans="1:18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83"/>
      <c r="G29" s="45"/>
      <c r="H29" s="45"/>
      <c r="I29" s="22"/>
      <c r="J29" s="22"/>
      <c r="K29" s="51">
        <f t="shared" si="1"/>
        <v>0</v>
      </c>
      <c r="L29" s="44">
        <f t="shared" si="4"/>
        <v>0</v>
      </c>
      <c r="M29" s="51">
        <f t="shared" si="2"/>
        <v>0</v>
      </c>
      <c r="N29" s="21"/>
    </row>
    <row r="30" spans="1:18" s="29" customFormat="1" x14ac:dyDescent="0.25">
      <c r="A30" s="23">
        <v>22</v>
      </c>
      <c r="B30" s="54" t="s">
        <v>73</v>
      </c>
      <c r="C30" s="76">
        <v>39000</v>
      </c>
      <c r="D30" s="77">
        <v>0</v>
      </c>
      <c r="E30" s="78">
        <v>0</v>
      </c>
      <c r="F30" s="91"/>
      <c r="G30" s="79"/>
      <c r="H30" s="79"/>
      <c r="I30" s="77"/>
      <c r="J30" s="77"/>
      <c r="K30" s="78"/>
      <c r="L30" s="44">
        <f t="shared" si="4"/>
        <v>0</v>
      </c>
      <c r="M30" s="51">
        <f t="shared" si="2"/>
        <v>0</v>
      </c>
      <c r="N30" s="54"/>
      <c r="O30" s="81" t="s">
        <v>90</v>
      </c>
      <c r="P30" s="81"/>
      <c r="Q30" s="81"/>
      <c r="R30" s="81"/>
    </row>
    <row r="31" spans="1:18" s="29" customFormat="1" x14ac:dyDescent="0.25">
      <c r="A31" s="23">
        <v>23</v>
      </c>
      <c r="B31" s="54" t="s">
        <v>73</v>
      </c>
      <c r="C31" s="76">
        <v>39000</v>
      </c>
      <c r="D31" s="77">
        <v>0</v>
      </c>
      <c r="E31" s="78">
        <v>0</v>
      </c>
      <c r="F31" s="91"/>
      <c r="G31" s="79"/>
      <c r="H31" s="79"/>
      <c r="I31" s="77"/>
      <c r="J31" s="77"/>
      <c r="K31" s="78"/>
      <c r="L31" s="44">
        <f t="shared" si="4"/>
        <v>0</v>
      </c>
      <c r="M31" s="51">
        <f t="shared" si="2"/>
        <v>0</v>
      </c>
      <c r="N31" s="54"/>
      <c r="O31" s="81" t="s">
        <v>91</v>
      </c>
      <c r="P31" s="81"/>
      <c r="Q31" s="81"/>
      <c r="R31" s="81"/>
    </row>
    <row r="32" spans="1:18" s="29" customFormat="1" x14ac:dyDescent="0.25">
      <c r="A32" s="23">
        <v>24</v>
      </c>
      <c r="B32" s="54" t="s">
        <v>5</v>
      </c>
      <c r="C32" s="76"/>
      <c r="D32" s="77">
        <v>0</v>
      </c>
      <c r="E32" s="78">
        <v>0</v>
      </c>
      <c r="F32" s="91"/>
      <c r="G32" s="79"/>
      <c r="H32" s="79"/>
      <c r="I32" s="77"/>
      <c r="J32" s="77"/>
      <c r="K32" s="78"/>
      <c r="L32" s="44">
        <f t="shared" si="4"/>
        <v>0</v>
      </c>
      <c r="M32" s="51">
        <f t="shared" si="2"/>
        <v>0</v>
      </c>
      <c r="N32" s="54"/>
      <c r="P32" s="81"/>
      <c r="Q32" s="81"/>
      <c r="R32" s="81"/>
    </row>
    <row r="33" spans="1:18" s="29" customFormat="1" x14ac:dyDescent="0.25">
      <c r="A33" s="23">
        <v>25</v>
      </c>
      <c r="B33" s="54" t="s">
        <v>95</v>
      </c>
      <c r="C33" s="76">
        <v>52000</v>
      </c>
      <c r="D33" s="77">
        <v>0</v>
      </c>
      <c r="E33" s="78">
        <v>0</v>
      </c>
      <c r="F33" s="91"/>
      <c r="G33" s="79"/>
      <c r="H33" s="79"/>
      <c r="I33" s="77"/>
      <c r="J33" s="77"/>
      <c r="K33" s="78"/>
      <c r="L33" s="44">
        <f t="shared" si="4"/>
        <v>0</v>
      </c>
      <c r="M33" s="51">
        <f t="shared" si="2"/>
        <v>0</v>
      </c>
      <c r="N33" s="54"/>
      <c r="O33" s="130" t="s">
        <v>97</v>
      </c>
      <c r="P33" s="81"/>
      <c r="Q33" s="81"/>
      <c r="R33" s="81"/>
    </row>
    <row r="34" spans="1:18" s="29" customFormat="1" x14ac:dyDescent="0.25">
      <c r="A34" s="23">
        <v>26</v>
      </c>
      <c r="B34" s="54" t="s">
        <v>96</v>
      </c>
      <c r="C34" s="76">
        <v>48000</v>
      </c>
      <c r="D34" s="77">
        <v>0</v>
      </c>
      <c r="E34" s="78">
        <v>0</v>
      </c>
      <c r="F34" s="91"/>
      <c r="G34" s="79"/>
      <c r="H34" s="79"/>
      <c r="I34" s="77"/>
      <c r="J34" s="77"/>
      <c r="K34" s="78"/>
      <c r="L34" s="44">
        <f t="shared" si="4"/>
        <v>0</v>
      </c>
      <c r="M34" s="51">
        <f t="shared" si="2"/>
        <v>0</v>
      </c>
      <c r="N34" s="54"/>
      <c r="O34" s="130"/>
      <c r="P34" s="81"/>
      <c r="Q34" s="81"/>
      <c r="R34" s="81"/>
    </row>
    <row r="35" spans="1:18" s="29" customFormat="1" x14ac:dyDescent="0.25">
      <c r="A35" s="23">
        <v>27</v>
      </c>
      <c r="B35" s="54" t="s">
        <v>98</v>
      </c>
      <c r="C35" s="76">
        <v>169500</v>
      </c>
      <c r="D35" s="77">
        <v>801.21000000000015</v>
      </c>
      <c r="E35" s="78">
        <v>135805095</v>
      </c>
      <c r="F35" s="91"/>
      <c r="G35" s="79"/>
      <c r="H35" s="79">
        <f>C35*F35</f>
        <v>0</v>
      </c>
      <c r="I35" s="77"/>
      <c r="J35" s="77"/>
      <c r="K35" s="78">
        <f>C35*I35</f>
        <v>0</v>
      </c>
      <c r="L35" s="44">
        <f t="shared" si="4"/>
        <v>801.21000000000015</v>
      </c>
      <c r="M35" s="51">
        <f t="shared" si="2"/>
        <v>135805095</v>
      </c>
      <c r="N35" s="54"/>
      <c r="P35" s="84" t="s">
        <v>99</v>
      </c>
      <c r="Q35" s="81"/>
      <c r="R35" s="81"/>
    </row>
    <row r="36" spans="1:18" s="29" customFormat="1" x14ac:dyDescent="0.25">
      <c r="A36" s="23">
        <v>28</v>
      </c>
      <c r="B36" s="54" t="s">
        <v>100</v>
      </c>
      <c r="C36" s="76">
        <v>47000</v>
      </c>
      <c r="D36" s="77">
        <v>12512.000000000002</v>
      </c>
      <c r="E36" s="78">
        <v>588064000</v>
      </c>
      <c r="F36" s="91"/>
      <c r="G36" s="79"/>
      <c r="H36" s="79">
        <f>F36*C36</f>
        <v>0</v>
      </c>
      <c r="I36" s="77"/>
      <c r="J36" s="77"/>
      <c r="K36" s="78">
        <f>I36*C36</f>
        <v>0</v>
      </c>
      <c r="L36" s="44">
        <f t="shared" si="4"/>
        <v>12512.000000000002</v>
      </c>
      <c r="M36" s="51">
        <f t="shared" si="2"/>
        <v>588064000</v>
      </c>
      <c r="N36" s="54"/>
      <c r="O36" s="29" t="s">
        <v>101</v>
      </c>
      <c r="P36" s="84"/>
      <c r="Q36" s="81"/>
      <c r="R36" s="81"/>
    </row>
    <row r="37" spans="1:18" s="29" customFormat="1" x14ac:dyDescent="0.25">
      <c r="A37" s="23">
        <v>29</v>
      </c>
      <c r="B37" s="54" t="s">
        <v>105</v>
      </c>
      <c r="C37" s="76">
        <v>29470</v>
      </c>
      <c r="D37" s="77">
        <v>21750</v>
      </c>
      <c r="E37" s="78">
        <v>640972500</v>
      </c>
      <c r="F37" s="91"/>
      <c r="G37" s="79"/>
      <c r="H37" s="79">
        <f>F37*C37</f>
        <v>0</v>
      </c>
      <c r="I37" s="77">
        <v>750</v>
      </c>
      <c r="J37" s="77">
        <v>32000</v>
      </c>
      <c r="K37" s="78">
        <f>I37*C37</f>
        <v>22102500</v>
      </c>
      <c r="L37" s="44">
        <f t="shared" si="4"/>
        <v>21000</v>
      </c>
      <c r="M37" s="51">
        <f t="shared" si="2"/>
        <v>618870000</v>
      </c>
      <c r="N37" s="54"/>
      <c r="O37" s="29" t="s">
        <v>108</v>
      </c>
      <c r="P37" s="84"/>
      <c r="Q37" s="81"/>
      <c r="R37" s="81"/>
    </row>
    <row r="38" spans="1:18" s="29" customFormat="1" x14ac:dyDescent="0.25">
      <c r="A38" s="23">
        <v>30</v>
      </c>
      <c r="B38" s="21" t="s">
        <v>73</v>
      </c>
      <c r="C38" s="76">
        <v>41500</v>
      </c>
      <c r="D38" s="77">
        <v>13013.2</v>
      </c>
      <c r="E38" s="78">
        <v>540047800</v>
      </c>
      <c r="F38" s="91">
        <v>20660</v>
      </c>
      <c r="G38" s="79"/>
      <c r="H38" s="79">
        <f>C38*F38</f>
        <v>857390000</v>
      </c>
      <c r="I38" s="77"/>
      <c r="J38" s="77"/>
      <c r="K38" s="78"/>
      <c r="L38" s="44">
        <f t="shared" si="4"/>
        <v>33673.199999999997</v>
      </c>
      <c r="M38" s="51">
        <f>L38*C38</f>
        <v>1397437799.9999998</v>
      </c>
      <c r="N38" s="54"/>
      <c r="P38" s="84"/>
      <c r="Q38" s="81"/>
      <c r="R38" s="81"/>
    </row>
    <row r="39" spans="1:18" s="29" customFormat="1" x14ac:dyDescent="0.25">
      <c r="A39" s="23"/>
      <c r="B39" s="21" t="s">
        <v>73</v>
      </c>
      <c r="C39" s="76">
        <v>42000</v>
      </c>
      <c r="D39" s="77">
        <v>21287.5</v>
      </c>
      <c r="E39" s="78">
        <v>894075000</v>
      </c>
      <c r="F39" s="91">
        <v>20885.12</v>
      </c>
      <c r="G39" s="79"/>
      <c r="H39" s="79">
        <f>F39*C39</f>
        <v>877175040</v>
      </c>
      <c r="I39" s="77"/>
      <c r="J39" s="77"/>
      <c r="K39" s="78"/>
      <c r="L39" s="44">
        <f t="shared" si="4"/>
        <v>42172.619999999995</v>
      </c>
      <c r="M39" s="51">
        <f>L39*C39</f>
        <v>1771250039.9999998</v>
      </c>
      <c r="N39" s="54"/>
      <c r="P39" s="84"/>
      <c r="Q39" s="81"/>
      <c r="R39" s="81"/>
    </row>
    <row r="40" spans="1:18" s="29" customFormat="1" x14ac:dyDescent="0.25">
      <c r="A40" s="23"/>
      <c r="B40" s="21" t="s">
        <v>128</v>
      </c>
      <c r="C40" s="46"/>
      <c r="D40" s="22"/>
      <c r="F40" s="103">
        <v>20660</v>
      </c>
      <c r="G40" s="45">
        <v>41500</v>
      </c>
      <c r="H40" s="45">
        <f>F40*G40</f>
        <v>857390000</v>
      </c>
      <c r="I40" s="22"/>
      <c r="J40" s="22"/>
      <c r="K40" s="51">
        <f>I40*J40</f>
        <v>0</v>
      </c>
      <c r="L40" s="44">
        <f t="shared" si="4"/>
        <v>20660</v>
      </c>
      <c r="M40" s="51">
        <f t="shared" ref="M40:M42" si="6">L40*C40</f>
        <v>0</v>
      </c>
      <c r="N40" s="21"/>
      <c r="O40" s="29" t="s">
        <v>129</v>
      </c>
      <c r="P40" s="90"/>
    </row>
    <row r="41" spans="1:18" s="29" customFormat="1" x14ac:dyDescent="0.25">
      <c r="A41" s="23"/>
      <c r="B41" s="21" t="s">
        <v>126</v>
      </c>
      <c r="C41" s="46"/>
      <c r="D41" s="22">
        <v>0</v>
      </c>
      <c r="E41" s="51">
        <v>0</v>
      </c>
      <c r="F41" s="83">
        <v>14537.141</v>
      </c>
      <c r="G41" s="45">
        <v>40000</v>
      </c>
      <c r="H41" s="45">
        <f>F41*G41</f>
        <v>581485640</v>
      </c>
      <c r="I41" s="22"/>
      <c r="J41" s="22"/>
      <c r="K41" s="51">
        <f t="shared" ref="K41:K42" si="7">I41*J41</f>
        <v>0</v>
      </c>
      <c r="L41" s="44">
        <f t="shared" si="4"/>
        <v>14537.141</v>
      </c>
      <c r="M41" s="51">
        <f t="shared" si="6"/>
        <v>0</v>
      </c>
      <c r="N41" s="21"/>
      <c r="O41" s="29" t="s">
        <v>127</v>
      </c>
      <c r="P41" s="90"/>
    </row>
    <row r="42" spans="1:18" s="29" customFormat="1" x14ac:dyDescent="0.25">
      <c r="A42" s="23"/>
      <c r="B42" s="21" t="s">
        <v>123</v>
      </c>
      <c r="C42" s="46"/>
      <c r="D42" s="22"/>
      <c r="E42" s="51"/>
      <c r="F42" s="83">
        <v>26611.18</v>
      </c>
      <c r="G42" s="45">
        <v>49000</v>
      </c>
      <c r="H42" s="45">
        <f>F42*G42</f>
        <v>1303947820</v>
      </c>
      <c r="I42" s="22"/>
      <c r="J42" s="22"/>
      <c r="K42" s="51">
        <f t="shared" si="7"/>
        <v>0</v>
      </c>
      <c r="L42" s="44">
        <f t="shared" si="4"/>
        <v>26611.18</v>
      </c>
      <c r="M42" s="51">
        <f t="shared" si="6"/>
        <v>0</v>
      </c>
      <c r="N42" s="21"/>
      <c r="O42" s="29" t="s">
        <v>125</v>
      </c>
      <c r="P42" s="90"/>
    </row>
    <row r="43" spans="1:18" s="101" customFormat="1" ht="14.25" x14ac:dyDescent="0.2">
      <c r="A43" s="61"/>
      <c r="B43" s="61" t="s">
        <v>25</v>
      </c>
      <c r="C43" s="61"/>
      <c r="D43" s="102">
        <v>153218.30000000002</v>
      </c>
      <c r="E43" s="98">
        <v>7719007716.8100004</v>
      </c>
      <c r="F43" s="104">
        <f>SUM(F8:F42)</f>
        <v>103353.44099999999</v>
      </c>
      <c r="G43" s="98"/>
      <c r="H43" s="98">
        <f>SUM(H8:H42)</f>
        <v>4477388500</v>
      </c>
      <c r="I43" s="99">
        <f>SUM(I8:I39)</f>
        <v>750</v>
      </c>
      <c r="J43" s="99"/>
      <c r="K43" s="98">
        <f>SUM(K8:K39)</f>
        <v>22102500</v>
      </c>
      <c r="L43" s="99">
        <f>SUM(L8:L42)</f>
        <v>255821.74099999998</v>
      </c>
      <c r="M43" s="98">
        <f>SUM(M8:M42)</f>
        <v>9431470256.8099995</v>
      </c>
      <c r="N43" s="100"/>
    </row>
    <row r="44" spans="1:18" x14ac:dyDescent="0.25">
      <c r="D44" s="72"/>
    </row>
    <row r="45" spans="1:18" x14ac:dyDescent="0.25">
      <c r="L45" s="24"/>
    </row>
    <row r="46" spans="1:18" x14ac:dyDescent="0.25">
      <c r="E46" s="24"/>
    </row>
    <row r="48" spans="1:18" x14ac:dyDescent="0.25">
      <c r="I48" s="24"/>
      <c r="J48" s="24"/>
    </row>
    <row r="49" spans="4:4" x14ac:dyDescent="0.25">
      <c r="D49" s="24"/>
    </row>
  </sheetData>
  <mergeCells count="9">
    <mergeCell ref="L6:M6"/>
    <mergeCell ref="N6:N7"/>
    <mergeCell ref="O33:O34"/>
    <mergeCell ref="H4:I4"/>
    <mergeCell ref="A6:A7"/>
    <mergeCell ref="B6:B7"/>
    <mergeCell ref="D6:E6"/>
    <mergeCell ref="F6:H6"/>
    <mergeCell ref="I6:K6"/>
  </mergeCells>
  <conditionalFormatting sqref="D20:D21 E8:M8 F43:M43 E42:E43 E9:E39 F40 K9:M42">
    <cfRule type="expression" dxfId="6" priority="2">
      <formula>AND(($Q8-TODAY())&lt;90,NOT(ISBLANK($Q8)))</formula>
    </cfRule>
  </conditionalFormatting>
  <conditionalFormatting sqref="E41">
    <cfRule type="expression" dxfId="5" priority="1">
      <formula>AND(($Q41-TODAY())&lt;90,NOT(ISBLANK($Q41)))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"/>
  <sheetViews>
    <sheetView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G15" sqref="G15"/>
    </sheetView>
  </sheetViews>
  <sheetFormatPr defaultRowHeight="15" x14ac:dyDescent="0.25"/>
  <cols>
    <col min="1" max="1" width="5.5703125" style="2" customWidth="1"/>
    <col min="2" max="2" width="41.140625" style="2" customWidth="1"/>
    <col min="3" max="3" width="11.28515625" style="2" customWidth="1"/>
    <col min="4" max="4" width="13" style="2" customWidth="1"/>
    <col min="5" max="5" width="15.7109375" style="2" customWidth="1"/>
    <col min="6" max="6" width="13" style="2" customWidth="1"/>
    <col min="7" max="7" width="11.5703125" style="2" customWidth="1"/>
    <col min="8" max="8" width="16.28515625" style="2" customWidth="1"/>
    <col min="9" max="9" width="11.42578125" style="2" customWidth="1"/>
    <col min="10" max="10" width="10.42578125" style="2" bestFit="1" customWidth="1"/>
    <col min="11" max="11" width="16.28515625" style="2" customWidth="1"/>
    <col min="12" max="12" width="11.5703125" style="2" customWidth="1"/>
    <col min="13" max="13" width="16.85546875" style="2" customWidth="1"/>
    <col min="14" max="14" width="52.5703125" style="2" customWidth="1"/>
    <col min="15" max="16384" width="9.140625" style="2"/>
  </cols>
  <sheetData>
    <row r="2" spans="1:14" x14ac:dyDescent="0.25">
      <c r="A2" s="136" t="s">
        <v>120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4" spans="1:14" s="1" customFormat="1" ht="14.25" x14ac:dyDescent="0.2">
      <c r="A4" s="133" t="s">
        <v>0</v>
      </c>
      <c r="B4" s="133" t="s">
        <v>18</v>
      </c>
      <c r="C4" s="92" t="s">
        <v>34</v>
      </c>
      <c r="D4" s="131" t="s">
        <v>33</v>
      </c>
      <c r="E4" s="132"/>
      <c r="F4" s="131" t="s">
        <v>21</v>
      </c>
      <c r="G4" s="135"/>
      <c r="H4" s="132"/>
      <c r="I4" s="131" t="s">
        <v>22</v>
      </c>
      <c r="J4" s="135"/>
      <c r="K4" s="132"/>
      <c r="L4" s="131" t="s">
        <v>23</v>
      </c>
      <c r="M4" s="132"/>
    </row>
    <row r="5" spans="1:14" s="108" customFormat="1" ht="14.25" x14ac:dyDescent="0.2">
      <c r="A5" s="134"/>
      <c r="B5" s="134"/>
      <c r="C5" s="105" t="s">
        <v>57</v>
      </c>
      <c r="D5" s="96"/>
      <c r="E5" s="96"/>
      <c r="F5" s="96" t="s">
        <v>19</v>
      </c>
      <c r="G5" s="96" t="s">
        <v>34</v>
      </c>
      <c r="H5" s="96" t="s">
        <v>20</v>
      </c>
      <c r="I5" s="96" t="s">
        <v>19</v>
      </c>
      <c r="J5" s="96" t="s">
        <v>34</v>
      </c>
      <c r="K5" s="96" t="s">
        <v>20</v>
      </c>
      <c r="L5" s="96" t="s">
        <v>19</v>
      </c>
      <c r="M5" s="96" t="s">
        <v>20</v>
      </c>
    </row>
    <row r="6" spans="1:14" x14ac:dyDescent="0.25">
      <c r="A6" s="23">
        <v>1</v>
      </c>
      <c r="B6" s="21" t="s">
        <v>3</v>
      </c>
      <c r="C6" s="46">
        <v>52000</v>
      </c>
      <c r="D6" s="22">
        <v>5067</v>
      </c>
      <c r="E6" s="51">
        <f>D6*C6</f>
        <v>263484000</v>
      </c>
      <c r="F6" s="22"/>
      <c r="G6" s="45"/>
      <c r="H6" s="45">
        <f>F6*G6</f>
        <v>0</v>
      </c>
      <c r="I6" s="45"/>
      <c r="J6" s="45"/>
      <c r="K6" s="51"/>
      <c r="L6" s="44">
        <f t="shared" ref="L6:L24" si="0">D6+F6-I6</f>
        <v>5067</v>
      </c>
      <c r="M6" s="51">
        <f>L6*C6</f>
        <v>263484000</v>
      </c>
      <c r="N6" s="2" t="s">
        <v>110</v>
      </c>
    </row>
    <row r="7" spans="1:14" x14ac:dyDescent="0.25">
      <c r="A7" s="23">
        <v>2</v>
      </c>
      <c r="B7" s="21" t="s">
        <v>7</v>
      </c>
      <c r="C7" s="46">
        <v>71000</v>
      </c>
      <c r="D7" s="22">
        <v>4950</v>
      </c>
      <c r="E7" s="51">
        <f t="shared" ref="E7:E25" si="1">D7*C7</f>
        <v>351450000</v>
      </c>
      <c r="F7" s="22"/>
      <c r="G7" s="45"/>
      <c r="H7" s="45">
        <f t="shared" ref="H7:H21" si="2">F7*G7</f>
        <v>0</v>
      </c>
      <c r="I7" s="45"/>
      <c r="J7" s="45"/>
      <c r="K7" s="51"/>
      <c r="L7" s="44">
        <f t="shared" si="0"/>
        <v>4950</v>
      </c>
      <c r="M7" s="51">
        <f t="shared" ref="M7:M20" si="3">L7*C7</f>
        <v>351450000</v>
      </c>
      <c r="N7" s="2" t="s">
        <v>110</v>
      </c>
    </row>
    <row r="8" spans="1:14" x14ac:dyDescent="0.25">
      <c r="A8" s="23">
        <v>3</v>
      </c>
      <c r="B8" s="21" t="s">
        <v>5</v>
      </c>
      <c r="C8" s="46">
        <v>48000</v>
      </c>
      <c r="D8" s="22">
        <v>7542.7199999999993</v>
      </c>
      <c r="E8" s="51">
        <f t="shared" si="1"/>
        <v>362050559.99999994</v>
      </c>
      <c r="F8" s="22"/>
      <c r="G8" s="45"/>
      <c r="H8" s="45">
        <f t="shared" si="2"/>
        <v>0</v>
      </c>
      <c r="I8" s="45"/>
      <c r="J8" s="45"/>
      <c r="K8" s="51"/>
      <c r="L8" s="44">
        <f t="shared" si="0"/>
        <v>7542.7199999999993</v>
      </c>
      <c r="M8" s="51">
        <f t="shared" si="3"/>
        <v>362050559.99999994</v>
      </c>
      <c r="N8" s="2" t="s">
        <v>110</v>
      </c>
    </row>
    <row r="9" spans="1:14" x14ac:dyDescent="0.25">
      <c r="A9" s="23">
        <v>4</v>
      </c>
      <c r="B9" s="21" t="s">
        <v>45</v>
      </c>
      <c r="C9" s="46">
        <v>48000</v>
      </c>
      <c r="D9" s="22">
        <v>6072.59</v>
      </c>
      <c r="E9" s="51">
        <f t="shared" si="1"/>
        <v>291484320</v>
      </c>
      <c r="F9" s="22"/>
      <c r="G9" s="45"/>
      <c r="H9" s="45">
        <f t="shared" si="2"/>
        <v>0</v>
      </c>
      <c r="I9" s="45"/>
      <c r="J9" s="45"/>
      <c r="K9" s="51"/>
      <c r="L9" s="44">
        <f t="shared" si="0"/>
        <v>6072.59</v>
      </c>
      <c r="M9" s="51">
        <f t="shared" si="3"/>
        <v>291484320</v>
      </c>
      <c r="N9" s="2" t="s">
        <v>110</v>
      </c>
    </row>
    <row r="10" spans="1:14" x14ac:dyDescent="0.25">
      <c r="A10" s="23">
        <v>5</v>
      </c>
      <c r="B10" s="21" t="s">
        <v>76</v>
      </c>
      <c r="C10" s="46">
        <v>170000</v>
      </c>
      <c r="D10" s="22">
        <v>939.04</v>
      </c>
      <c r="E10" s="51">
        <f t="shared" si="1"/>
        <v>159636800</v>
      </c>
      <c r="F10" s="22"/>
      <c r="G10" s="45"/>
      <c r="H10" s="45">
        <f t="shared" si="2"/>
        <v>0</v>
      </c>
      <c r="I10" s="45"/>
      <c r="J10" s="45"/>
      <c r="K10" s="51"/>
      <c r="L10" s="44">
        <f t="shared" si="0"/>
        <v>939.04</v>
      </c>
      <c r="M10" s="51">
        <f t="shared" si="3"/>
        <v>159636800</v>
      </c>
      <c r="N10" s="2" t="s">
        <v>110</v>
      </c>
    </row>
    <row r="11" spans="1:14" x14ac:dyDescent="0.25">
      <c r="A11" s="23">
        <v>6</v>
      </c>
      <c r="B11" s="21" t="s">
        <v>76</v>
      </c>
      <c r="C11" s="46">
        <v>170000</v>
      </c>
      <c r="D11" s="22">
        <v>798.67999999999984</v>
      </c>
      <c r="E11" s="51">
        <f t="shared" si="1"/>
        <v>135775599.99999997</v>
      </c>
      <c r="F11" s="22"/>
      <c r="G11" s="45"/>
      <c r="H11" s="45">
        <f t="shared" si="2"/>
        <v>0</v>
      </c>
      <c r="I11" s="45"/>
      <c r="J11" s="45"/>
      <c r="K11" s="51"/>
      <c r="L11" s="44">
        <f t="shared" si="0"/>
        <v>798.67999999999984</v>
      </c>
      <c r="M11" s="51">
        <f t="shared" si="3"/>
        <v>135775599.99999997</v>
      </c>
      <c r="N11" s="2" t="s">
        <v>110</v>
      </c>
    </row>
    <row r="12" spans="1:14" x14ac:dyDescent="0.25">
      <c r="A12" s="23">
        <v>7</v>
      </c>
      <c r="B12" s="21" t="s">
        <v>73</v>
      </c>
      <c r="C12" s="46">
        <v>44000</v>
      </c>
      <c r="D12" s="22">
        <v>20629.2</v>
      </c>
      <c r="E12" s="51">
        <f t="shared" si="1"/>
        <v>907684800</v>
      </c>
      <c r="F12" s="22"/>
      <c r="G12" s="45"/>
      <c r="H12" s="45">
        <f t="shared" si="2"/>
        <v>0</v>
      </c>
      <c r="I12" s="45"/>
      <c r="J12" s="45"/>
      <c r="K12" s="51"/>
      <c r="L12" s="44">
        <f t="shared" si="0"/>
        <v>20629.2</v>
      </c>
      <c r="M12" s="51">
        <f t="shared" si="3"/>
        <v>907684800</v>
      </c>
      <c r="N12" s="2" t="s">
        <v>110</v>
      </c>
    </row>
    <row r="13" spans="1:14" x14ac:dyDescent="0.25">
      <c r="A13" s="23">
        <v>8</v>
      </c>
      <c r="B13" s="21" t="s">
        <v>73</v>
      </c>
      <c r="C13" s="46">
        <v>44000</v>
      </c>
      <c r="D13" s="44">
        <v>20885.12</v>
      </c>
      <c r="E13" s="51">
        <f t="shared" si="1"/>
        <v>918945280</v>
      </c>
      <c r="F13" s="22"/>
      <c r="G13" s="45"/>
      <c r="H13" s="45">
        <f t="shared" si="2"/>
        <v>0</v>
      </c>
      <c r="I13" s="45"/>
      <c r="J13" s="45"/>
      <c r="K13" s="51"/>
      <c r="L13" s="44">
        <f t="shared" si="0"/>
        <v>20885.12</v>
      </c>
      <c r="M13" s="51">
        <f t="shared" si="3"/>
        <v>918945280</v>
      </c>
      <c r="N13" s="2" t="s">
        <v>118</v>
      </c>
    </row>
    <row r="14" spans="1:14" x14ac:dyDescent="0.25">
      <c r="A14" s="23">
        <v>9</v>
      </c>
      <c r="B14" s="21" t="s">
        <v>111</v>
      </c>
      <c r="C14" s="46">
        <v>44000</v>
      </c>
      <c r="D14" s="44">
        <v>3541</v>
      </c>
      <c r="E14" s="51">
        <f t="shared" si="1"/>
        <v>155804000</v>
      </c>
      <c r="F14" s="22"/>
      <c r="G14" s="45"/>
      <c r="H14" s="45">
        <f t="shared" si="2"/>
        <v>0</v>
      </c>
      <c r="I14" s="45"/>
      <c r="J14" s="45"/>
      <c r="K14" s="51"/>
      <c r="L14" s="44">
        <f t="shared" si="0"/>
        <v>3541</v>
      </c>
      <c r="M14" s="51">
        <f t="shared" si="3"/>
        <v>155804000</v>
      </c>
      <c r="N14" s="2" t="s">
        <v>115</v>
      </c>
    </row>
    <row r="15" spans="1:14" x14ac:dyDescent="0.25">
      <c r="A15" s="23">
        <v>10</v>
      </c>
      <c r="B15" s="21" t="s">
        <v>73</v>
      </c>
      <c r="C15" s="46">
        <v>44000</v>
      </c>
      <c r="D15" s="44">
        <v>20660</v>
      </c>
      <c r="E15" s="51">
        <f t="shared" si="1"/>
        <v>909040000</v>
      </c>
      <c r="F15" s="22"/>
      <c r="G15" s="45"/>
      <c r="H15" s="45">
        <f t="shared" si="2"/>
        <v>0</v>
      </c>
      <c r="I15" s="45"/>
      <c r="J15" s="45"/>
      <c r="K15" s="51"/>
      <c r="L15" s="44">
        <f t="shared" si="0"/>
        <v>20660</v>
      </c>
      <c r="M15" s="51">
        <f t="shared" si="3"/>
        <v>909040000</v>
      </c>
      <c r="N15" s="2" t="s">
        <v>116</v>
      </c>
    </row>
    <row r="16" spans="1:14" x14ac:dyDescent="0.25">
      <c r="A16" s="23">
        <v>11</v>
      </c>
      <c r="B16" s="21" t="s">
        <v>111</v>
      </c>
      <c r="C16" s="46">
        <v>44000</v>
      </c>
      <c r="D16" s="22">
        <v>9472.2000000000007</v>
      </c>
      <c r="E16" s="51">
        <f t="shared" si="1"/>
        <v>416776800.00000006</v>
      </c>
      <c r="F16" s="22"/>
      <c r="G16" s="45"/>
      <c r="H16" s="45">
        <f t="shared" si="2"/>
        <v>0</v>
      </c>
      <c r="I16" s="45"/>
      <c r="J16" s="45"/>
      <c r="K16" s="51"/>
      <c r="L16" s="44">
        <f t="shared" si="0"/>
        <v>9472.2000000000007</v>
      </c>
      <c r="M16" s="51">
        <f t="shared" si="3"/>
        <v>416776800.00000006</v>
      </c>
      <c r="N16" s="2" t="s">
        <v>117</v>
      </c>
    </row>
    <row r="17" spans="1:14" x14ac:dyDescent="0.25">
      <c r="A17" s="23">
        <v>12</v>
      </c>
      <c r="B17" s="21" t="s">
        <v>63</v>
      </c>
      <c r="C17" s="46">
        <v>49500</v>
      </c>
      <c r="D17" s="22">
        <v>11170</v>
      </c>
      <c r="E17" s="51">
        <f t="shared" si="1"/>
        <v>552915000</v>
      </c>
      <c r="F17" s="22"/>
      <c r="G17" s="45"/>
      <c r="H17" s="45">
        <f t="shared" si="2"/>
        <v>0</v>
      </c>
      <c r="I17" s="45"/>
      <c r="J17" s="45"/>
      <c r="K17" s="51"/>
      <c r="L17" s="44">
        <f t="shared" si="0"/>
        <v>11170</v>
      </c>
      <c r="M17" s="51">
        <f t="shared" si="3"/>
        <v>552915000</v>
      </c>
      <c r="N17" s="2" t="s">
        <v>110</v>
      </c>
    </row>
    <row r="18" spans="1:14" x14ac:dyDescent="0.25">
      <c r="A18" s="23">
        <v>13</v>
      </c>
      <c r="B18" s="21" t="s">
        <v>112</v>
      </c>
      <c r="C18" s="46">
        <v>52500</v>
      </c>
      <c r="D18" s="22">
        <v>3780</v>
      </c>
      <c r="E18" s="51">
        <f t="shared" si="1"/>
        <v>198450000</v>
      </c>
      <c r="F18" s="22"/>
      <c r="G18" s="45"/>
      <c r="H18" s="45">
        <f t="shared" si="2"/>
        <v>0</v>
      </c>
      <c r="I18" s="45"/>
      <c r="J18" s="45"/>
      <c r="K18" s="51"/>
      <c r="L18" s="44">
        <f t="shared" si="0"/>
        <v>3780</v>
      </c>
      <c r="M18" s="51">
        <f t="shared" si="3"/>
        <v>198450000</v>
      </c>
      <c r="N18" s="2" t="s">
        <v>113</v>
      </c>
    </row>
    <row r="19" spans="1:14" x14ac:dyDescent="0.25">
      <c r="A19" s="23">
        <v>14</v>
      </c>
      <c r="B19" s="21" t="s">
        <v>114</v>
      </c>
      <c r="C19" s="46">
        <v>50000</v>
      </c>
      <c r="D19" s="22">
        <v>14537.141</v>
      </c>
      <c r="E19" s="51">
        <f t="shared" si="1"/>
        <v>726857050</v>
      </c>
      <c r="F19" s="22"/>
      <c r="G19" s="45"/>
      <c r="H19" s="45">
        <f t="shared" si="2"/>
        <v>0</v>
      </c>
      <c r="I19" s="45"/>
      <c r="J19" s="45"/>
      <c r="K19" s="51"/>
      <c r="L19" s="44">
        <f t="shared" si="0"/>
        <v>14537.141</v>
      </c>
      <c r="M19" s="51">
        <f t="shared" si="3"/>
        <v>726857050</v>
      </c>
      <c r="N19" s="2" t="s">
        <v>122</v>
      </c>
    </row>
    <row r="20" spans="1:14" x14ac:dyDescent="0.25">
      <c r="A20" s="23">
        <v>15</v>
      </c>
      <c r="B20" s="21" t="s">
        <v>100</v>
      </c>
      <c r="C20" s="46">
        <v>50000</v>
      </c>
      <c r="D20" s="22">
        <v>12512.000000000002</v>
      </c>
      <c r="E20" s="51">
        <f t="shared" si="1"/>
        <v>625600000.00000012</v>
      </c>
      <c r="F20" s="22"/>
      <c r="G20" s="45"/>
      <c r="H20" s="45">
        <f t="shared" si="2"/>
        <v>0</v>
      </c>
      <c r="I20" s="45"/>
      <c r="J20" s="45"/>
      <c r="K20" s="51"/>
      <c r="L20" s="44">
        <f t="shared" si="0"/>
        <v>12512.000000000002</v>
      </c>
      <c r="M20" s="51">
        <f t="shared" si="3"/>
        <v>625600000.00000012</v>
      </c>
      <c r="N20" s="2" t="s">
        <v>119</v>
      </c>
    </row>
    <row r="21" spans="1:14" x14ac:dyDescent="0.25">
      <c r="A21" s="23">
        <v>16</v>
      </c>
      <c r="B21" s="21" t="s">
        <v>105</v>
      </c>
      <c r="C21" s="46">
        <v>32000</v>
      </c>
      <c r="D21" s="22">
        <v>21750</v>
      </c>
      <c r="E21" s="51">
        <f t="shared" si="1"/>
        <v>696000000</v>
      </c>
      <c r="F21" s="22"/>
      <c r="G21" s="45"/>
      <c r="H21" s="45">
        <f t="shared" si="2"/>
        <v>0</v>
      </c>
      <c r="I21" s="45">
        <v>750</v>
      </c>
      <c r="J21" s="45">
        <v>32000</v>
      </c>
      <c r="K21" s="51">
        <f>I21*J21</f>
        <v>24000000</v>
      </c>
      <c r="L21" s="44">
        <f>D21+F21-I21</f>
        <v>21000</v>
      </c>
      <c r="M21" s="51">
        <f>L21*C21</f>
        <v>672000000</v>
      </c>
      <c r="N21" s="2" t="s">
        <v>110</v>
      </c>
    </row>
    <row r="22" spans="1:14" x14ac:dyDescent="0.25">
      <c r="A22" s="23">
        <v>17</v>
      </c>
      <c r="B22" s="21" t="s">
        <v>130</v>
      </c>
      <c r="C22" s="46"/>
      <c r="D22" s="22"/>
      <c r="E22" s="51">
        <f t="shared" si="1"/>
        <v>0</v>
      </c>
      <c r="F22" s="22">
        <v>20660</v>
      </c>
      <c r="G22" s="45">
        <v>41500</v>
      </c>
      <c r="H22" s="45">
        <f>F22*G22</f>
        <v>857390000</v>
      </c>
      <c r="I22" s="45"/>
      <c r="J22" s="45"/>
      <c r="K22" s="51">
        <f>I22*J22</f>
        <v>0</v>
      </c>
      <c r="L22" s="44">
        <f>D22+F22-I22</f>
        <v>20660</v>
      </c>
      <c r="M22" s="51"/>
      <c r="N22" s="2" t="s">
        <v>134</v>
      </c>
    </row>
    <row r="23" spans="1:14" x14ac:dyDescent="0.25">
      <c r="A23" s="23">
        <v>18</v>
      </c>
      <c r="B23" s="21" t="s">
        <v>131</v>
      </c>
      <c r="C23" s="46"/>
      <c r="D23" s="22"/>
      <c r="E23" s="51">
        <f t="shared" si="1"/>
        <v>0</v>
      </c>
      <c r="F23" s="83">
        <v>14537.141</v>
      </c>
      <c r="G23" s="45">
        <v>40000</v>
      </c>
      <c r="H23" s="45">
        <f t="shared" ref="H23:H24" si="4">F23*G23</f>
        <v>581485640</v>
      </c>
      <c r="I23" s="45"/>
      <c r="J23" s="45"/>
      <c r="K23" s="51">
        <f t="shared" ref="K23:K25" si="5">I23*J23</f>
        <v>0</v>
      </c>
      <c r="L23" s="44">
        <f t="shared" si="0"/>
        <v>14537.141</v>
      </c>
      <c r="M23" s="51"/>
      <c r="N23" s="2" t="s">
        <v>133</v>
      </c>
    </row>
    <row r="24" spans="1:14" x14ac:dyDescent="0.25">
      <c r="A24" s="23">
        <v>19</v>
      </c>
      <c r="B24" s="21" t="s">
        <v>123</v>
      </c>
      <c r="C24" s="46"/>
      <c r="D24" s="22"/>
      <c r="E24" s="51">
        <f t="shared" si="1"/>
        <v>0</v>
      </c>
      <c r="F24" s="22">
        <v>26611.18</v>
      </c>
      <c r="G24" s="45">
        <v>49000</v>
      </c>
      <c r="H24" s="45">
        <f t="shared" si="4"/>
        <v>1303947820</v>
      </c>
      <c r="I24" s="45"/>
      <c r="J24" s="45"/>
      <c r="K24" s="51">
        <f t="shared" si="5"/>
        <v>0</v>
      </c>
      <c r="L24" s="44">
        <f t="shared" si="0"/>
        <v>26611.18</v>
      </c>
      <c r="M24" s="51"/>
      <c r="N24" s="2" t="s">
        <v>136</v>
      </c>
    </row>
    <row r="25" spans="1:14" x14ac:dyDescent="0.25">
      <c r="A25" s="23">
        <v>20</v>
      </c>
      <c r="B25" s="21" t="s">
        <v>132</v>
      </c>
      <c r="C25" s="46"/>
      <c r="D25" s="22"/>
      <c r="E25" s="51">
        <f t="shared" si="1"/>
        <v>0</v>
      </c>
      <c r="F25" s="22">
        <v>343.64</v>
      </c>
      <c r="G25" s="45">
        <v>160000</v>
      </c>
      <c r="H25" s="45">
        <f>F25*G25</f>
        <v>54982400</v>
      </c>
      <c r="I25" s="45"/>
      <c r="J25" s="45"/>
      <c r="K25" s="51">
        <f t="shared" si="5"/>
        <v>0</v>
      </c>
      <c r="L25" s="44">
        <f>D25+F25-I25</f>
        <v>343.64</v>
      </c>
      <c r="M25" s="51"/>
      <c r="N25" s="2" t="s">
        <v>135</v>
      </c>
    </row>
    <row r="26" spans="1:14" x14ac:dyDescent="0.25">
      <c r="A26" s="23">
        <v>21</v>
      </c>
      <c r="B26" s="21"/>
      <c r="C26" s="46"/>
      <c r="D26" s="22"/>
      <c r="E26" s="51"/>
      <c r="F26" s="22"/>
      <c r="G26" s="45"/>
      <c r="H26" s="45"/>
      <c r="I26" s="45"/>
      <c r="J26" s="45"/>
      <c r="K26" s="51"/>
      <c r="L26" s="44"/>
      <c r="M26" s="51"/>
    </row>
    <row r="27" spans="1:14" s="1" customFormat="1" ht="14.25" x14ac:dyDescent="0.2">
      <c r="A27" s="61"/>
      <c r="B27" s="87" t="s">
        <v>25</v>
      </c>
      <c r="C27" s="87"/>
      <c r="D27" s="88">
        <f>SUM(D6:D25)</f>
        <v>164306.69100000002</v>
      </c>
      <c r="E27" s="106">
        <f>SUM(E6:E25)</f>
        <v>7671954210</v>
      </c>
      <c r="F27" s="107">
        <f>SUM(F6:F25)</f>
        <v>62151.961000000003</v>
      </c>
      <c r="G27" s="106"/>
      <c r="H27" s="106">
        <f>SUM(H6:H25)</f>
        <v>2797805860</v>
      </c>
      <c r="I27" s="106">
        <f>SUM(I6:I25)</f>
        <v>750</v>
      </c>
      <c r="J27" s="106"/>
      <c r="K27" s="106">
        <f>SUM(K6:K25)</f>
        <v>24000000</v>
      </c>
      <c r="L27" s="106">
        <f>SUM(L6:L25)</f>
        <v>225708.65200000003</v>
      </c>
      <c r="M27" s="106">
        <f>SUM(M6:M24)</f>
        <v>7647954210</v>
      </c>
    </row>
    <row r="30" spans="1:14" x14ac:dyDescent="0.25">
      <c r="B30" s="2" t="s">
        <v>121</v>
      </c>
    </row>
  </sheetData>
  <mergeCells count="7">
    <mergeCell ref="A2:M2"/>
    <mergeCell ref="A4:A5"/>
    <mergeCell ref="B4:B5"/>
    <mergeCell ref="D4:E4"/>
    <mergeCell ref="F4:H4"/>
    <mergeCell ref="I4:K4"/>
    <mergeCell ref="L4:M4"/>
  </mergeCells>
  <conditionalFormatting sqref="D13:D15 F27:M27 E6:E27 K6:M26">
    <cfRule type="expression" dxfId="4" priority="1">
      <formula>AND(($P6-TODAY())&lt;90,NOT(ISBLANK($P6)))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pane xSplit="2" ySplit="3" topLeftCell="I4" activePane="bottomRight" state="frozen"/>
      <selection pane="topRight" activeCell="C1" sqref="C1"/>
      <selection pane="bottomLeft" activeCell="A6" sqref="A6"/>
      <selection pane="bottomRight" activeCell="B4" sqref="B1:I1048576"/>
    </sheetView>
  </sheetViews>
  <sheetFormatPr defaultRowHeight="22.5" customHeight="1" x14ac:dyDescent="0.25"/>
  <cols>
    <col min="1" max="1" width="5.42578125" style="2" customWidth="1"/>
    <col min="2" max="2" width="38.28515625" style="2" customWidth="1"/>
    <col min="3" max="3" width="11.28515625" style="2" customWidth="1"/>
    <col min="4" max="4" width="13" style="2" customWidth="1"/>
    <col min="5" max="5" width="15.7109375" style="2" customWidth="1"/>
    <col min="6" max="6" width="13" style="2" customWidth="1"/>
    <col min="7" max="7" width="11.5703125" style="2" customWidth="1"/>
    <col min="8" max="8" width="16.28515625" style="2" customWidth="1"/>
    <col min="9" max="9" width="11.42578125" style="15" customWidth="1"/>
    <col min="10" max="10" width="11.85546875" style="2" customWidth="1"/>
    <col min="11" max="11" width="16.28515625" style="2" customWidth="1"/>
    <col min="12" max="12" width="11.5703125" style="2" customWidth="1"/>
    <col min="13" max="13" width="16.85546875" style="2" customWidth="1"/>
    <col min="14" max="14" width="43.140625" style="2" customWidth="1"/>
    <col min="15" max="16384" width="9.140625" style="2"/>
  </cols>
  <sheetData>
    <row r="1" spans="1:14" ht="22.5" customHeight="1" x14ac:dyDescent="0.3">
      <c r="A1" s="137" t="s">
        <v>137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4" s="1" customFormat="1" ht="22.5" customHeight="1" x14ac:dyDescent="0.2">
      <c r="A2" s="133" t="s">
        <v>138</v>
      </c>
      <c r="B2" s="133" t="s">
        <v>18</v>
      </c>
      <c r="C2" s="92" t="s">
        <v>34</v>
      </c>
      <c r="D2" s="131" t="s">
        <v>33</v>
      </c>
      <c r="E2" s="132"/>
      <c r="F2" s="131" t="s">
        <v>21</v>
      </c>
      <c r="G2" s="135"/>
      <c r="H2" s="132"/>
      <c r="I2" s="131" t="s">
        <v>22</v>
      </c>
      <c r="J2" s="135"/>
      <c r="K2" s="132"/>
      <c r="L2" s="131" t="s">
        <v>23</v>
      </c>
      <c r="M2" s="132"/>
    </row>
    <row r="3" spans="1:14" s="108" customFormat="1" ht="22.5" customHeight="1" x14ac:dyDescent="0.2">
      <c r="A3" s="134"/>
      <c r="B3" s="134"/>
      <c r="C3" s="105" t="s">
        <v>57</v>
      </c>
      <c r="D3" s="96"/>
      <c r="E3" s="96"/>
      <c r="F3" s="96" t="s">
        <v>19</v>
      </c>
      <c r="G3" s="96" t="s">
        <v>34</v>
      </c>
      <c r="H3" s="96" t="s">
        <v>20</v>
      </c>
      <c r="I3" s="110" t="s">
        <v>19</v>
      </c>
      <c r="J3" s="96" t="s">
        <v>34</v>
      </c>
      <c r="K3" s="96" t="s">
        <v>20</v>
      </c>
      <c r="L3" s="96" t="s">
        <v>19</v>
      </c>
      <c r="M3" s="96" t="s">
        <v>20</v>
      </c>
    </row>
    <row r="4" spans="1:14" ht="22.5" customHeight="1" x14ac:dyDescent="0.25">
      <c r="A4" s="23">
        <v>1</v>
      </c>
      <c r="B4" s="21" t="s">
        <v>139</v>
      </c>
      <c r="C4" s="46">
        <v>52000</v>
      </c>
      <c r="D4" s="22">
        <v>5067</v>
      </c>
      <c r="E4" s="51">
        <f>D4*C4</f>
        <v>263484000</v>
      </c>
      <c r="F4" s="22"/>
      <c r="G4" s="45"/>
      <c r="H4" s="45">
        <f>F4*G4</f>
        <v>0</v>
      </c>
      <c r="I4" s="111"/>
      <c r="J4" s="45"/>
      <c r="K4" s="51">
        <f>I4*J4</f>
        <v>0</v>
      </c>
      <c r="L4" s="44">
        <f>D4+F4-I4</f>
        <v>5067</v>
      </c>
      <c r="M4" s="51">
        <f>E4+H4-K4</f>
        <v>263484000</v>
      </c>
    </row>
    <row r="5" spans="1:14" ht="22.5" customHeight="1" x14ac:dyDescent="0.25">
      <c r="A5" s="23">
        <v>2</v>
      </c>
      <c r="B5" s="21" t="s">
        <v>140</v>
      </c>
      <c r="C5" s="46">
        <v>71000</v>
      </c>
      <c r="D5" s="22">
        <v>4950</v>
      </c>
      <c r="E5" s="51">
        <f t="shared" ref="E5:E17" si="0">D5*C5</f>
        <v>351450000</v>
      </c>
      <c r="F5" s="22"/>
      <c r="G5" s="45"/>
      <c r="H5" s="45">
        <f t="shared" ref="H5:H31" si="1">F5*G5</f>
        <v>0</v>
      </c>
      <c r="I5" s="111">
        <f>1320+630+1000</f>
        <v>2950</v>
      </c>
      <c r="J5" s="45">
        <f t="shared" ref="J5:J12" si="2">C5</f>
        <v>71000</v>
      </c>
      <c r="K5" s="51">
        <f t="shared" ref="K5:K31" si="3">I5*J5</f>
        <v>209450000</v>
      </c>
      <c r="L5" s="44">
        <f t="shared" ref="L5:L23" si="4">D5+F5-I5</f>
        <v>2000</v>
      </c>
      <c r="M5" s="51">
        <f t="shared" ref="M5:M23" si="5">E5+H5-K5</f>
        <v>142000000</v>
      </c>
      <c r="N5" s="2" t="s">
        <v>162</v>
      </c>
    </row>
    <row r="6" spans="1:14" ht="22.5" customHeight="1" x14ac:dyDescent="0.25">
      <c r="A6" s="23">
        <v>3</v>
      </c>
      <c r="B6" s="21" t="s">
        <v>151</v>
      </c>
      <c r="C6" s="46">
        <v>48000</v>
      </c>
      <c r="D6" s="22">
        <v>7542.7199999999993</v>
      </c>
      <c r="E6" s="51">
        <f t="shared" si="0"/>
        <v>362050559.99999994</v>
      </c>
      <c r="F6" s="22"/>
      <c r="G6" s="45"/>
      <c r="H6" s="45">
        <f t="shared" si="1"/>
        <v>0</v>
      </c>
      <c r="I6" s="111">
        <v>4530</v>
      </c>
      <c r="J6" s="45">
        <f t="shared" si="2"/>
        <v>48000</v>
      </c>
      <c r="K6" s="51">
        <f t="shared" si="3"/>
        <v>217440000</v>
      </c>
      <c r="L6" s="44">
        <f t="shared" si="4"/>
        <v>3012.7199999999993</v>
      </c>
      <c r="M6" s="51">
        <f t="shared" si="5"/>
        <v>144610559.99999994</v>
      </c>
      <c r="N6" s="2" t="s">
        <v>149</v>
      </c>
    </row>
    <row r="7" spans="1:14" ht="22.5" customHeight="1" x14ac:dyDescent="0.25">
      <c r="A7" s="23">
        <v>4</v>
      </c>
      <c r="B7" s="21" t="s">
        <v>100</v>
      </c>
      <c r="C7" s="46">
        <v>48000</v>
      </c>
      <c r="D7" s="22">
        <v>6072.59</v>
      </c>
      <c r="E7" s="51">
        <f t="shared" si="0"/>
        <v>291484320</v>
      </c>
      <c r="F7" s="22"/>
      <c r="G7" s="45"/>
      <c r="H7" s="45">
        <f t="shared" si="1"/>
        <v>0</v>
      </c>
      <c r="I7" s="111">
        <f>596.27+2054.8</f>
        <v>2651.07</v>
      </c>
      <c r="J7" s="45">
        <f t="shared" si="2"/>
        <v>48000</v>
      </c>
      <c r="K7" s="51">
        <f t="shared" si="3"/>
        <v>127251360.00000001</v>
      </c>
      <c r="L7" s="44">
        <f t="shared" si="4"/>
        <v>3421.52</v>
      </c>
      <c r="M7" s="51">
        <f t="shared" si="5"/>
        <v>164232960</v>
      </c>
      <c r="N7" s="2" t="s">
        <v>153</v>
      </c>
    </row>
    <row r="8" spans="1:14" ht="22.5" customHeight="1" x14ac:dyDescent="0.25">
      <c r="A8" s="23">
        <v>5</v>
      </c>
      <c r="B8" s="21" t="s">
        <v>141</v>
      </c>
      <c r="C8" s="46">
        <v>170000</v>
      </c>
      <c r="D8" s="22">
        <v>939.04</v>
      </c>
      <c r="E8" s="51">
        <f t="shared" si="0"/>
        <v>159636800</v>
      </c>
      <c r="F8" s="22"/>
      <c r="G8" s="45"/>
      <c r="H8" s="45">
        <f t="shared" si="1"/>
        <v>0</v>
      </c>
      <c r="I8" s="111">
        <f xml:space="preserve"> 1258.22-I9+479.5</f>
        <v>939.04000000000008</v>
      </c>
      <c r="J8" s="45">
        <f t="shared" si="2"/>
        <v>170000</v>
      </c>
      <c r="K8" s="51">
        <f t="shared" si="3"/>
        <v>159636800</v>
      </c>
      <c r="L8" s="44">
        <f t="shared" si="4"/>
        <v>0</v>
      </c>
      <c r="M8" s="51">
        <f t="shared" si="5"/>
        <v>0</v>
      </c>
      <c r="N8" s="2" t="s">
        <v>153</v>
      </c>
    </row>
    <row r="9" spans="1:14" ht="22.5" customHeight="1" x14ac:dyDescent="0.25">
      <c r="A9" s="23">
        <v>6</v>
      </c>
      <c r="B9" s="21" t="s">
        <v>141</v>
      </c>
      <c r="C9" s="46">
        <v>170000</v>
      </c>
      <c r="D9" s="22">
        <v>798.67999999999984</v>
      </c>
      <c r="E9" s="51">
        <f t="shared" si="0"/>
        <v>135775599.99999997</v>
      </c>
      <c r="F9" s="22"/>
      <c r="G9" s="45"/>
      <c r="H9" s="45">
        <f t="shared" si="1"/>
        <v>0</v>
      </c>
      <c r="I9" s="111">
        <v>798.68</v>
      </c>
      <c r="J9" s="45">
        <f t="shared" si="2"/>
        <v>170000</v>
      </c>
      <c r="K9" s="51">
        <f t="shared" si="3"/>
        <v>135775600</v>
      </c>
      <c r="L9" s="44">
        <f t="shared" si="4"/>
        <v>0</v>
      </c>
      <c r="M9" s="51">
        <f t="shared" si="5"/>
        <v>0</v>
      </c>
      <c r="N9" s="2" t="s">
        <v>149</v>
      </c>
    </row>
    <row r="10" spans="1:14" ht="22.5" customHeight="1" x14ac:dyDescent="0.25">
      <c r="A10" s="23">
        <v>7</v>
      </c>
      <c r="B10" s="21" t="s">
        <v>142</v>
      </c>
      <c r="C10" s="46">
        <v>44000</v>
      </c>
      <c r="D10" s="22">
        <v>20629.2</v>
      </c>
      <c r="E10" s="51">
        <f t="shared" si="0"/>
        <v>907684800</v>
      </c>
      <c r="F10" s="22"/>
      <c r="G10" s="45"/>
      <c r="H10" s="45">
        <f t="shared" si="1"/>
        <v>0</v>
      </c>
      <c r="I10" s="111">
        <f>10257.8+10351</f>
        <v>20608.8</v>
      </c>
      <c r="J10" s="45">
        <f t="shared" si="2"/>
        <v>44000</v>
      </c>
      <c r="K10" s="51">
        <f t="shared" si="3"/>
        <v>906787200</v>
      </c>
      <c r="L10" s="44">
        <f>D10+F10-I10</f>
        <v>20.400000000001455</v>
      </c>
      <c r="M10" s="51">
        <f t="shared" si="5"/>
        <v>897600</v>
      </c>
      <c r="N10" s="2" t="s">
        <v>159</v>
      </c>
    </row>
    <row r="11" spans="1:14" ht="22.5" customHeight="1" x14ac:dyDescent="0.25">
      <c r="A11" s="23">
        <v>8</v>
      </c>
      <c r="B11" s="21" t="s">
        <v>142</v>
      </c>
      <c r="C11" s="46">
        <v>44000</v>
      </c>
      <c r="D11" s="44">
        <v>20885.12</v>
      </c>
      <c r="E11" s="51">
        <f t="shared" si="0"/>
        <v>918945280</v>
      </c>
      <c r="F11" s="22"/>
      <c r="G11" s="45"/>
      <c r="H11" s="45">
        <f t="shared" si="1"/>
        <v>0</v>
      </c>
      <c r="I11" s="111">
        <f>4701.8+13696.5</f>
        <v>18398.3</v>
      </c>
      <c r="J11" s="45">
        <f t="shared" si="2"/>
        <v>44000</v>
      </c>
      <c r="K11" s="51">
        <f t="shared" si="3"/>
        <v>809525200</v>
      </c>
      <c r="L11" s="44">
        <f t="shared" si="4"/>
        <v>2486.8199999999997</v>
      </c>
      <c r="M11" s="51">
        <f t="shared" si="5"/>
        <v>109420080</v>
      </c>
      <c r="N11" s="2" t="s">
        <v>153</v>
      </c>
    </row>
    <row r="12" spans="1:14" ht="22.5" customHeight="1" x14ac:dyDescent="0.25">
      <c r="A12" s="23">
        <v>9</v>
      </c>
      <c r="B12" s="21" t="s">
        <v>142</v>
      </c>
      <c r="C12" s="46">
        <v>44000</v>
      </c>
      <c r="D12" s="44">
        <v>3541</v>
      </c>
      <c r="E12" s="51">
        <f t="shared" si="0"/>
        <v>155804000</v>
      </c>
      <c r="F12" s="22"/>
      <c r="G12" s="45"/>
      <c r="H12" s="45">
        <f t="shared" si="1"/>
        <v>0</v>
      </c>
      <c r="I12" s="111">
        <v>810</v>
      </c>
      <c r="J12" s="45">
        <f t="shared" si="2"/>
        <v>44000</v>
      </c>
      <c r="K12" s="51">
        <f t="shared" si="3"/>
        <v>35640000</v>
      </c>
      <c r="L12" s="44">
        <f t="shared" si="4"/>
        <v>2731</v>
      </c>
      <c r="M12" s="51">
        <f t="shared" si="5"/>
        <v>120164000</v>
      </c>
      <c r="N12" s="2" t="s">
        <v>152</v>
      </c>
    </row>
    <row r="13" spans="1:14" ht="22.5" customHeight="1" x14ac:dyDescent="0.25">
      <c r="A13" s="23">
        <v>10</v>
      </c>
      <c r="B13" s="21" t="s">
        <v>142</v>
      </c>
      <c r="C13" s="46">
        <v>44000</v>
      </c>
      <c r="D13" s="22">
        <v>9472.2000000000007</v>
      </c>
      <c r="E13" s="51">
        <f t="shared" si="0"/>
        <v>416776800.00000006</v>
      </c>
      <c r="F13" s="22"/>
      <c r="G13" s="45"/>
      <c r="H13" s="45">
        <f t="shared" si="1"/>
        <v>0</v>
      </c>
      <c r="I13" s="111"/>
      <c r="J13" s="45"/>
      <c r="K13" s="51">
        <f t="shared" si="3"/>
        <v>0</v>
      </c>
      <c r="L13" s="44">
        <f t="shared" si="4"/>
        <v>9472.2000000000007</v>
      </c>
      <c r="M13" s="51">
        <f t="shared" si="5"/>
        <v>416776800.00000006</v>
      </c>
    </row>
    <row r="14" spans="1:14" ht="22.5" customHeight="1" x14ac:dyDescent="0.25">
      <c r="A14" s="23">
        <v>11</v>
      </c>
      <c r="B14" s="21" t="s">
        <v>143</v>
      </c>
      <c r="C14" s="46">
        <v>49500</v>
      </c>
      <c r="D14" s="22">
        <v>11170</v>
      </c>
      <c r="E14" s="51">
        <f t="shared" si="0"/>
        <v>552915000</v>
      </c>
      <c r="F14" s="22"/>
      <c r="G14" s="45"/>
      <c r="H14" s="45">
        <f t="shared" si="1"/>
        <v>0</v>
      </c>
      <c r="I14" s="111">
        <f>1000+1000+1000</f>
        <v>3000</v>
      </c>
      <c r="J14" s="45">
        <f>C14</f>
        <v>49500</v>
      </c>
      <c r="K14" s="51">
        <f t="shared" si="3"/>
        <v>148500000</v>
      </c>
      <c r="L14" s="44">
        <f t="shared" si="4"/>
        <v>8170</v>
      </c>
      <c r="M14" s="51">
        <f t="shared" si="5"/>
        <v>404415000</v>
      </c>
      <c r="N14" s="2" t="s">
        <v>162</v>
      </c>
    </row>
    <row r="15" spans="1:14" ht="22.5" customHeight="1" x14ac:dyDescent="0.25">
      <c r="A15" s="23">
        <v>12</v>
      </c>
      <c r="B15" s="21" t="s">
        <v>151</v>
      </c>
      <c r="C15" s="46">
        <v>52500</v>
      </c>
      <c r="D15" s="22">
        <v>3780</v>
      </c>
      <c r="E15" s="51">
        <f t="shared" si="0"/>
        <v>198450000</v>
      </c>
      <c r="F15" s="22"/>
      <c r="G15" s="45"/>
      <c r="H15" s="45">
        <f t="shared" si="1"/>
        <v>0</v>
      </c>
      <c r="I15" s="111"/>
      <c r="J15" s="45"/>
      <c r="K15" s="51">
        <f t="shared" si="3"/>
        <v>0</v>
      </c>
      <c r="L15" s="44">
        <f t="shared" si="4"/>
        <v>3780</v>
      </c>
      <c r="M15" s="51">
        <f t="shared" si="5"/>
        <v>198450000</v>
      </c>
    </row>
    <row r="16" spans="1:14" ht="22.5" customHeight="1" x14ac:dyDescent="0.25">
      <c r="A16" s="23">
        <v>13</v>
      </c>
      <c r="B16" s="21" t="s">
        <v>100</v>
      </c>
      <c r="C16" s="46">
        <v>50000</v>
      </c>
      <c r="D16" s="22">
        <v>12512.000000000002</v>
      </c>
      <c r="E16" s="51">
        <f t="shared" si="0"/>
        <v>625600000.00000012</v>
      </c>
      <c r="F16" s="22"/>
      <c r="G16" s="45"/>
      <c r="H16" s="45">
        <f t="shared" si="1"/>
        <v>0</v>
      </c>
      <c r="I16" s="111">
        <v>439.71</v>
      </c>
      <c r="J16" s="45">
        <v>50000</v>
      </c>
      <c r="K16" s="51">
        <f t="shared" si="3"/>
        <v>21985500</v>
      </c>
      <c r="L16" s="44">
        <f t="shared" si="4"/>
        <v>12072.290000000003</v>
      </c>
      <c r="M16" s="51">
        <f t="shared" si="5"/>
        <v>603614500.00000012</v>
      </c>
      <c r="N16" s="2" t="s">
        <v>161</v>
      </c>
    </row>
    <row r="17" spans="1:14" ht="22.5" customHeight="1" x14ac:dyDescent="0.25">
      <c r="A17" s="23">
        <v>14</v>
      </c>
      <c r="B17" s="21" t="s">
        <v>105</v>
      </c>
      <c r="C17" s="46">
        <v>32000</v>
      </c>
      <c r="D17" s="22">
        <v>21750</v>
      </c>
      <c r="E17" s="51">
        <f t="shared" si="0"/>
        <v>696000000</v>
      </c>
      <c r="F17" s="22"/>
      <c r="G17" s="45"/>
      <c r="H17" s="45">
        <f t="shared" si="1"/>
        <v>0</v>
      </c>
      <c r="I17" s="111">
        <f>750+750+1500</f>
        <v>3000</v>
      </c>
      <c r="J17" s="45">
        <v>32000</v>
      </c>
      <c r="K17" s="51">
        <f t="shared" si="3"/>
        <v>96000000</v>
      </c>
      <c r="L17" s="44">
        <f t="shared" si="4"/>
        <v>18750</v>
      </c>
      <c r="M17" s="51">
        <f t="shared" si="5"/>
        <v>600000000</v>
      </c>
      <c r="N17" s="2" t="s">
        <v>160</v>
      </c>
    </row>
    <row r="18" spans="1:14" ht="22.5" customHeight="1" x14ac:dyDescent="0.25">
      <c r="A18" s="113">
        <v>15</v>
      </c>
      <c r="B18" s="114" t="s">
        <v>130</v>
      </c>
      <c r="C18" s="115"/>
      <c r="D18" s="70"/>
      <c r="E18" s="116"/>
      <c r="F18" s="70">
        <v>20660</v>
      </c>
      <c r="G18" s="117">
        <v>41500</v>
      </c>
      <c r="H18" s="117">
        <f t="shared" si="1"/>
        <v>857390000</v>
      </c>
      <c r="I18" s="111"/>
      <c r="J18" s="45"/>
      <c r="K18" s="51">
        <f t="shared" si="3"/>
        <v>0</v>
      </c>
      <c r="L18" s="44">
        <f t="shared" si="4"/>
        <v>20660</v>
      </c>
      <c r="M18" s="51">
        <f t="shared" si="5"/>
        <v>857390000</v>
      </c>
      <c r="N18" s="2" t="s">
        <v>134</v>
      </c>
    </row>
    <row r="19" spans="1:14" ht="22.5" customHeight="1" x14ac:dyDescent="0.25">
      <c r="A19" s="113">
        <v>16</v>
      </c>
      <c r="B19" s="114" t="s">
        <v>144</v>
      </c>
      <c r="C19" s="115"/>
      <c r="D19" s="70"/>
      <c r="E19" s="116"/>
      <c r="F19" s="118">
        <v>14537.141</v>
      </c>
      <c r="G19" s="117">
        <v>40000</v>
      </c>
      <c r="H19" s="117">
        <f t="shared" si="1"/>
        <v>581485640</v>
      </c>
      <c r="I19" s="111">
        <f>7542.72+4348.17</f>
        <v>11890.89</v>
      </c>
      <c r="J19" s="45">
        <f>G19</f>
        <v>40000</v>
      </c>
      <c r="K19" s="51">
        <f t="shared" si="3"/>
        <v>475635600</v>
      </c>
      <c r="L19" s="44">
        <f t="shared" si="4"/>
        <v>2646.2510000000002</v>
      </c>
      <c r="M19" s="51">
        <f t="shared" si="5"/>
        <v>105850040</v>
      </c>
      <c r="N19" s="2" t="s">
        <v>150</v>
      </c>
    </row>
    <row r="20" spans="1:14" ht="22.5" customHeight="1" x14ac:dyDescent="0.25">
      <c r="A20" s="113">
        <v>17</v>
      </c>
      <c r="B20" s="114" t="s">
        <v>123</v>
      </c>
      <c r="C20" s="115"/>
      <c r="D20" s="70"/>
      <c r="E20" s="116"/>
      <c r="F20" s="70">
        <v>26611.18</v>
      </c>
      <c r="G20" s="117">
        <v>49000</v>
      </c>
      <c r="H20" s="117">
        <f t="shared" si="1"/>
        <v>1303947820</v>
      </c>
      <c r="I20" s="111">
        <f>5728.09+5870.38</f>
        <v>11598.470000000001</v>
      </c>
      <c r="J20" s="45">
        <f>G20</f>
        <v>49000</v>
      </c>
      <c r="K20" s="51">
        <f t="shared" si="3"/>
        <v>568325030</v>
      </c>
      <c r="L20" s="44">
        <f t="shared" si="4"/>
        <v>15012.71</v>
      </c>
      <c r="M20" s="51">
        <f t="shared" si="5"/>
        <v>735622790</v>
      </c>
      <c r="N20" s="2" t="s">
        <v>164</v>
      </c>
    </row>
    <row r="21" spans="1:14" ht="22.5" customHeight="1" x14ac:dyDescent="0.25">
      <c r="A21" s="113">
        <v>18</v>
      </c>
      <c r="B21" s="114" t="s">
        <v>132</v>
      </c>
      <c r="C21" s="115"/>
      <c r="D21" s="70"/>
      <c r="E21" s="116"/>
      <c r="F21" s="70">
        <v>343.64</v>
      </c>
      <c r="G21" s="117">
        <v>160000</v>
      </c>
      <c r="H21" s="117">
        <f t="shared" si="1"/>
        <v>54982400</v>
      </c>
      <c r="I21" s="111"/>
      <c r="J21" s="45"/>
      <c r="K21" s="51">
        <f t="shared" si="3"/>
        <v>0</v>
      </c>
      <c r="L21" s="44">
        <f t="shared" si="4"/>
        <v>343.64</v>
      </c>
      <c r="M21" s="51">
        <f t="shared" si="5"/>
        <v>54982400</v>
      </c>
      <c r="N21" s="2" t="s">
        <v>154</v>
      </c>
    </row>
    <row r="22" spans="1:14" ht="22.5" customHeight="1" x14ac:dyDescent="0.25">
      <c r="A22" s="113">
        <v>19</v>
      </c>
      <c r="B22" s="114" t="s">
        <v>144</v>
      </c>
      <c r="C22" s="115"/>
      <c r="D22" s="70"/>
      <c r="E22" s="116"/>
      <c r="F22" s="70">
        <v>28307.54</v>
      </c>
      <c r="G22" s="117">
        <v>38000</v>
      </c>
      <c r="H22" s="117">
        <f t="shared" si="1"/>
        <v>1075686520</v>
      </c>
      <c r="I22" s="111"/>
      <c r="J22" s="45"/>
      <c r="K22" s="51">
        <f t="shared" si="3"/>
        <v>0</v>
      </c>
      <c r="L22" s="44">
        <f t="shared" si="4"/>
        <v>28307.54</v>
      </c>
      <c r="M22" s="51">
        <f t="shared" si="5"/>
        <v>1075686520</v>
      </c>
      <c r="N22" s="2" t="s">
        <v>147</v>
      </c>
    </row>
    <row r="23" spans="1:14" ht="22.5" customHeight="1" x14ac:dyDescent="0.25">
      <c r="A23" s="113">
        <v>20</v>
      </c>
      <c r="B23" s="114" t="s">
        <v>145</v>
      </c>
      <c r="C23" s="115"/>
      <c r="D23" s="70"/>
      <c r="E23" s="116"/>
      <c r="F23" s="70">
        <v>11046.73</v>
      </c>
      <c r="G23" s="117">
        <f>ROUND(H23/F23,0)</f>
        <v>40904</v>
      </c>
      <c r="H23" s="117">
        <v>451860238</v>
      </c>
      <c r="I23" s="111"/>
      <c r="J23" s="45"/>
      <c r="K23" s="51">
        <f t="shared" si="3"/>
        <v>0</v>
      </c>
      <c r="L23" s="44">
        <f t="shared" si="4"/>
        <v>11046.73</v>
      </c>
      <c r="M23" s="51">
        <f t="shared" si="5"/>
        <v>451860238</v>
      </c>
      <c r="N23" s="2" t="s">
        <v>148</v>
      </c>
    </row>
    <row r="24" spans="1:14" ht="22.5" customHeight="1" x14ac:dyDescent="0.25">
      <c r="A24" s="113">
        <v>21</v>
      </c>
      <c r="B24" s="114" t="s">
        <v>146</v>
      </c>
      <c r="C24" s="115"/>
      <c r="D24" s="70"/>
      <c r="E24" s="116"/>
      <c r="F24" s="70">
        <v>14060.15</v>
      </c>
      <c r="G24" s="117">
        <f>ROUND(H24/F24,0)</f>
        <v>40904</v>
      </c>
      <c r="H24" s="117">
        <v>575122478</v>
      </c>
      <c r="I24" s="111">
        <f>518.66+1051.66</f>
        <v>1570.3200000000002</v>
      </c>
      <c r="J24" s="45">
        <f>G24</f>
        <v>40904</v>
      </c>
      <c r="K24" s="51"/>
      <c r="L24" s="44">
        <f t="shared" ref="L24:L31" si="6">D24+F24-I24</f>
        <v>12489.83</v>
      </c>
      <c r="M24" s="51">
        <f t="shared" ref="M24:M31" si="7">E24+H24-K24</f>
        <v>575122478</v>
      </c>
      <c r="N24" s="2" t="s">
        <v>163</v>
      </c>
    </row>
    <row r="25" spans="1:14" s="121" customFormat="1" ht="22.5" customHeight="1" x14ac:dyDescent="0.25">
      <c r="A25" s="113">
        <v>24</v>
      </c>
      <c r="B25" s="114" t="s">
        <v>144</v>
      </c>
      <c r="C25" s="115"/>
      <c r="D25" s="70"/>
      <c r="E25" s="116"/>
      <c r="F25" s="70">
        <v>27856</v>
      </c>
      <c r="G25" s="117">
        <v>49500</v>
      </c>
      <c r="H25" s="117">
        <f t="shared" si="1"/>
        <v>1378872000</v>
      </c>
      <c r="I25" s="119"/>
      <c r="J25" s="117"/>
      <c r="K25" s="116"/>
      <c r="L25" s="120">
        <f t="shared" si="6"/>
        <v>27856</v>
      </c>
      <c r="M25" s="116">
        <f t="shared" si="7"/>
        <v>1378872000</v>
      </c>
      <c r="N25" s="121" t="s">
        <v>155</v>
      </c>
    </row>
    <row r="26" spans="1:14" s="121" customFormat="1" ht="22.5" customHeight="1" x14ac:dyDescent="0.25">
      <c r="A26" s="113">
        <v>25</v>
      </c>
      <c r="B26" s="114" t="s">
        <v>130</v>
      </c>
      <c r="C26" s="115"/>
      <c r="D26" s="70"/>
      <c r="E26" s="116"/>
      <c r="F26" s="70">
        <v>20994.6</v>
      </c>
      <c r="G26" s="117">
        <v>41000</v>
      </c>
      <c r="H26" s="117">
        <f t="shared" si="1"/>
        <v>860778599.99999988</v>
      </c>
      <c r="I26" s="119"/>
      <c r="J26" s="117"/>
      <c r="K26" s="116"/>
      <c r="L26" s="120">
        <f t="shared" si="6"/>
        <v>20994.6</v>
      </c>
      <c r="M26" s="116">
        <f t="shared" si="7"/>
        <v>860778599.99999988</v>
      </c>
      <c r="N26" s="121" t="s">
        <v>156</v>
      </c>
    </row>
    <row r="27" spans="1:14" s="121" customFormat="1" ht="22.5" customHeight="1" x14ac:dyDescent="0.25">
      <c r="A27" s="113">
        <v>26</v>
      </c>
      <c r="B27" s="114" t="s">
        <v>123</v>
      </c>
      <c r="C27" s="115"/>
      <c r="D27" s="70"/>
      <c r="E27" s="116"/>
      <c r="F27" s="70">
        <v>53694.52</v>
      </c>
      <c r="G27" s="117">
        <v>47500</v>
      </c>
      <c r="H27" s="117">
        <f t="shared" si="1"/>
        <v>2550489700</v>
      </c>
      <c r="I27" s="119"/>
      <c r="J27" s="117"/>
      <c r="K27" s="116"/>
      <c r="L27" s="120">
        <f t="shared" si="6"/>
        <v>53694.52</v>
      </c>
      <c r="M27" s="116">
        <f t="shared" si="7"/>
        <v>2550489700</v>
      </c>
      <c r="N27" s="2" t="s">
        <v>157</v>
      </c>
    </row>
    <row r="28" spans="1:14" s="121" customFormat="1" ht="22.5" customHeight="1" x14ac:dyDescent="0.25">
      <c r="A28" s="113">
        <v>27</v>
      </c>
      <c r="B28" s="114" t="s">
        <v>158</v>
      </c>
      <c r="C28" s="115"/>
      <c r="D28" s="70"/>
      <c r="E28" s="116"/>
      <c r="F28" s="70">
        <f>589.81+576.47</f>
        <v>1166.28</v>
      </c>
      <c r="G28" s="117">
        <v>163000</v>
      </c>
      <c r="H28" s="117">
        <f t="shared" si="1"/>
        <v>190103640</v>
      </c>
      <c r="I28" s="119"/>
      <c r="J28" s="117"/>
      <c r="K28" s="116"/>
      <c r="L28" s="120">
        <f t="shared" si="6"/>
        <v>1166.28</v>
      </c>
      <c r="M28" s="116">
        <f t="shared" si="7"/>
        <v>190103640</v>
      </c>
      <c r="N28" s="2" t="s">
        <v>166</v>
      </c>
    </row>
    <row r="29" spans="1:14" s="121" customFormat="1" ht="22.5" customHeight="1" x14ac:dyDescent="0.25">
      <c r="A29" s="113">
        <v>28</v>
      </c>
      <c r="B29" s="114" t="s">
        <v>130</v>
      </c>
      <c r="C29" s="115"/>
      <c r="D29" s="70"/>
      <c r="E29" s="116"/>
      <c r="F29" s="70">
        <v>20885.12</v>
      </c>
      <c r="G29" s="117">
        <v>42000</v>
      </c>
      <c r="H29" s="117">
        <f>F29*G29</f>
        <v>877175040</v>
      </c>
      <c r="I29" s="119"/>
      <c r="J29" s="117"/>
      <c r="K29" s="116"/>
      <c r="L29" s="120">
        <f t="shared" si="6"/>
        <v>20885.12</v>
      </c>
      <c r="M29" s="116">
        <f t="shared" si="7"/>
        <v>877175040</v>
      </c>
      <c r="N29" s="121" t="s">
        <v>165</v>
      </c>
    </row>
    <row r="30" spans="1:14" s="121" customFormat="1" ht="22.5" customHeight="1" x14ac:dyDescent="0.25">
      <c r="A30" s="113">
        <v>29</v>
      </c>
      <c r="B30" s="114"/>
      <c r="C30" s="115"/>
      <c r="D30" s="70"/>
      <c r="E30" s="116"/>
      <c r="F30" s="70"/>
      <c r="G30" s="117"/>
      <c r="H30" s="117">
        <f t="shared" si="1"/>
        <v>0</v>
      </c>
      <c r="I30" s="119"/>
      <c r="J30" s="117"/>
      <c r="K30" s="116"/>
      <c r="L30" s="120">
        <f t="shared" si="6"/>
        <v>0</v>
      </c>
      <c r="M30" s="116">
        <f t="shared" si="7"/>
        <v>0</v>
      </c>
    </row>
    <row r="31" spans="1:14" s="121" customFormat="1" ht="22.5" customHeight="1" x14ac:dyDescent="0.25">
      <c r="A31" s="113">
        <v>26</v>
      </c>
      <c r="B31" s="114"/>
      <c r="C31" s="115"/>
      <c r="D31" s="70"/>
      <c r="E31" s="116"/>
      <c r="F31" s="70"/>
      <c r="G31" s="117"/>
      <c r="H31" s="117">
        <f t="shared" si="1"/>
        <v>0</v>
      </c>
      <c r="I31" s="119"/>
      <c r="J31" s="117"/>
      <c r="K31" s="116">
        <f t="shared" si="3"/>
        <v>0</v>
      </c>
      <c r="L31" s="120">
        <f t="shared" si="6"/>
        <v>0</v>
      </c>
      <c r="M31" s="116">
        <f t="shared" si="7"/>
        <v>0</v>
      </c>
    </row>
    <row r="32" spans="1:14" s="1" customFormat="1" ht="22.5" customHeight="1" x14ac:dyDescent="0.2">
      <c r="A32" s="87"/>
      <c r="B32" s="87" t="s">
        <v>25</v>
      </c>
      <c r="C32" s="87"/>
      <c r="D32" s="88">
        <f>SUM(D4:D31)</f>
        <v>129109.55</v>
      </c>
      <c r="E32" s="109">
        <f t="shared" ref="E32:M32" si="8">SUM(E4:E31)</f>
        <v>6036057160</v>
      </c>
      <c r="F32" s="88">
        <f t="shared" si="8"/>
        <v>240162.90099999998</v>
      </c>
      <c r="G32" s="88">
        <f t="shared" si="8"/>
        <v>753308</v>
      </c>
      <c r="H32" s="109">
        <f t="shared" si="8"/>
        <v>10757894076</v>
      </c>
      <c r="I32" s="112">
        <f t="shared" si="8"/>
        <v>83185.279999999999</v>
      </c>
      <c r="J32" s="88">
        <f t="shared" si="8"/>
        <v>900404</v>
      </c>
      <c r="K32" s="109">
        <f t="shared" si="8"/>
        <v>3911952290</v>
      </c>
      <c r="L32" s="88">
        <f t="shared" si="8"/>
        <v>286087.17100000003</v>
      </c>
      <c r="M32" s="109">
        <f t="shared" si="8"/>
        <v>12881998946</v>
      </c>
    </row>
  </sheetData>
  <mergeCells count="7">
    <mergeCell ref="A1:M1"/>
    <mergeCell ref="A2:A3"/>
    <mergeCell ref="B2:B3"/>
    <mergeCell ref="D2:E2"/>
    <mergeCell ref="F2:H2"/>
    <mergeCell ref="I2:K2"/>
    <mergeCell ref="L2:M2"/>
  </mergeCells>
  <conditionalFormatting sqref="D11:D12 E4:E31 K4:M31">
    <cfRule type="expression" dxfId="3" priority="1">
      <formula>AND(($P4-TODAY())&lt;90,NOT(ISBLANK($P4)))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2" workbookViewId="0">
      <selection activeCell="B34" sqref="B34"/>
    </sheetView>
  </sheetViews>
  <sheetFormatPr defaultRowHeight="15" x14ac:dyDescent="0.25"/>
  <cols>
    <col min="1" max="1" width="5.42578125" style="2" customWidth="1"/>
    <col min="2" max="2" width="38.28515625" style="2" customWidth="1"/>
    <col min="3" max="3" width="11.28515625" style="2" customWidth="1"/>
    <col min="4" max="4" width="13" style="2" customWidth="1"/>
    <col min="5" max="5" width="15.7109375" style="2" customWidth="1"/>
    <col min="6" max="6" width="13" style="2" customWidth="1"/>
    <col min="7" max="7" width="11.5703125" style="2" customWidth="1"/>
    <col min="8" max="8" width="16.28515625" style="2" customWidth="1"/>
    <col min="9" max="9" width="11.42578125" style="15" customWidth="1"/>
    <col min="10" max="10" width="11.85546875" style="2" customWidth="1"/>
    <col min="11" max="11" width="16.28515625" style="2" customWidth="1"/>
    <col min="12" max="12" width="11.5703125" style="2" customWidth="1"/>
    <col min="13" max="13" width="16.85546875" style="2" customWidth="1"/>
    <col min="14" max="14" width="43.140625" style="2" customWidth="1"/>
    <col min="15" max="16384" width="9.140625" style="2"/>
  </cols>
  <sheetData>
    <row r="1" spans="1:14" ht="22.5" customHeight="1" x14ac:dyDescent="0.3">
      <c r="A1" s="137" t="s">
        <v>167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4" s="1" customFormat="1" ht="22.5" customHeight="1" x14ac:dyDescent="0.2">
      <c r="A2" s="133" t="s">
        <v>138</v>
      </c>
      <c r="B2" s="133" t="s">
        <v>18</v>
      </c>
      <c r="C2" s="92" t="s">
        <v>34</v>
      </c>
      <c r="D2" s="131" t="s">
        <v>33</v>
      </c>
      <c r="E2" s="132"/>
      <c r="F2" s="131" t="s">
        <v>21</v>
      </c>
      <c r="G2" s="135"/>
      <c r="H2" s="132"/>
      <c r="I2" s="131" t="s">
        <v>22</v>
      </c>
      <c r="J2" s="135"/>
      <c r="K2" s="132"/>
      <c r="L2" s="131" t="s">
        <v>23</v>
      </c>
      <c r="M2" s="132"/>
    </row>
    <row r="3" spans="1:14" s="108" customFormat="1" ht="22.5" customHeight="1" x14ac:dyDescent="0.2">
      <c r="A3" s="134"/>
      <c r="B3" s="134"/>
      <c r="C3" s="105" t="s">
        <v>57</v>
      </c>
      <c r="D3" s="96"/>
      <c r="E3" s="96"/>
      <c r="F3" s="96" t="s">
        <v>19</v>
      </c>
      <c r="G3" s="96" t="s">
        <v>34</v>
      </c>
      <c r="H3" s="96" t="s">
        <v>20</v>
      </c>
      <c r="I3" s="110" t="s">
        <v>19</v>
      </c>
      <c r="J3" s="96" t="s">
        <v>34</v>
      </c>
      <c r="K3" s="96" t="s">
        <v>20</v>
      </c>
      <c r="L3" s="96" t="s">
        <v>19</v>
      </c>
      <c r="M3" s="96" t="s">
        <v>20</v>
      </c>
    </row>
    <row r="4" spans="1:14" ht="22.5" customHeight="1" x14ac:dyDescent="0.25">
      <c r="A4" s="23">
        <v>1</v>
      </c>
      <c r="B4" s="21" t="s">
        <v>139</v>
      </c>
      <c r="C4" s="46">
        <v>52000</v>
      </c>
      <c r="D4" s="22">
        <f>'NXT T092022'!L4</f>
        <v>5067</v>
      </c>
      <c r="E4" s="51">
        <f>D4*C4</f>
        <v>263484000</v>
      </c>
      <c r="F4" s="22"/>
      <c r="G4" s="45"/>
      <c r="H4" s="45">
        <f>F4*G4</f>
        <v>0</v>
      </c>
      <c r="I4" s="111">
        <f>567+900</f>
        <v>1467</v>
      </c>
      <c r="J4" s="45">
        <v>52000</v>
      </c>
      <c r="K4" s="51">
        <f>I4*J4</f>
        <v>76284000</v>
      </c>
      <c r="L4" s="44">
        <f>D4+F4-I4</f>
        <v>3600</v>
      </c>
      <c r="M4" s="51">
        <f>E4+H4-K4</f>
        <v>187200000</v>
      </c>
      <c r="N4" s="2" t="s">
        <v>179</v>
      </c>
    </row>
    <row r="5" spans="1:14" ht="22.5" customHeight="1" x14ac:dyDescent="0.25">
      <c r="A5" s="23">
        <v>2</v>
      </c>
      <c r="B5" s="21" t="s">
        <v>140</v>
      </c>
      <c r="C5" s="46">
        <v>71000</v>
      </c>
      <c r="D5" s="22">
        <f>'NXT T092022'!L5</f>
        <v>2000</v>
      </c>
      <c r="E5" s="51">
        <f t="shared" ref="E5:E17" si="0">D5*C5</f>
        <v>142000000</v>
      </c>
      <c r="F5" s="22"/>
      <c r="G5" s="45"/>
      <c r="H5" s="45">
        <f t="shared" ref="H5:H31" si="1">F5*G5</f>
        <v>0</v>
      </c>
      <c r="I5" s="111">
        <f>1000+1000</f>
        <v>2000</v>
      </c>
      <c r="J5" s="45">
        <v>71000</v>
      </c>
      <c r="K5" s="51">
        <f t="shared" ref="K5:K34" si="2">I5*J5</f>
        <v>142000000</v>
      </c>
      <c r="L5" s="44">
        <f t="shared" ref="L5:L34" si="3">D5+F5-I5</f>
        <v>0</v>
      </c>
      <c r="M5" s="51">
        <f t="shared" ref="M5:M34" si="4">E5+H5-K5</f>
        <v>0</v>
      </c>
      <c r="N5" s="2" t="s">
        <v>170</v>
      </c>
    </row>
    <row r="6" spans="1:14" ht="22.5" customHeight="1" x14ac:dyDescent="0.25">
      <c r="A6" s="23">
        <v>3</v>
      </c>
      <c r="B6" s="21" t="s">
        <v>151</v>
      </c>
      <c r="C6" s="46">
        <v>48000</v>
      </c>
      <c r="D6" s="22">
        <f>'NXT T092022'!L6</f>
        <v>3012.7199999999993</v>
      </c>
      <c r="E6" s="51">
        <f t="shared" si="0"/>
        <v>144610559.99999997</v>
      </c>
      <c r="F6" s="22"/>
      <c r="G6" s="45"/>
      <c r="H6" s="45">
        <f t="shared" si="1"/>
        <v>0</v>
      </c>
      <c r="I6" s="111"/>
      <c r="J6" s="45"/>
      <c r="K6" s="51">
        <f t="shared" si="2"/>
        <v>0</v>
      </c>
      <c r="L6" s="44">
        <f t="shared" si="3"/>
        <v>3012.7199999999993</v>
      </c>
      <c r="M6" s="51">
        <f t="shared" si="4"/>
        <v>144610559.99999997</v>
      </c>
    </row>
    <row r="7" spans="1:14" ht="22.5" customHeight="1" x14ac:dyDescent="0.25">
      <c r="A7" s="23">
        <v>4</v>
      </c>
      <c r="B7" s="21" t="s">
        <v>100</v>
      </c>
      <c r="C7" s="46">
        <v>48000</v>
      </c>
      <c r="D7" s="22">
        <f>'NXT T092022'!L7</f>
        <v>3421.52</v>
      </c>
      <c r="E7" s="51">
        <f t="shared" si="0"/>
        <v>164232960</v>
      </c>
      <c r="F7" s="22"/>
      <c r="G7" s="45"/>
      <c r="H7" s="45">
        <f t="shared" si="1"/>
        <v>0</v>
      </c>
      <c r="I7" s="111">
        <f>137.93+1405.28</f>
        <v>1543.21</v>
      </c>
      <c r="J7" s="45">
        <v>48000</v>
      </c>
      <c r="K7" s="51">
        <f t="shared" si="2"/>
        <v>74074080</v>
      </c>
      <c r="L7" s="44">
        <f t="shared" si="3"/>
        <v>1878.31</v>
      </c>
      <c r="M7" s="51">
        <f t="shared" si="4"/>
        <v>90158880</v>
      </c>
      <c r="N7" s="2" t="s">
        <v>172</v>
      </c>
    </row>
    <row r="8" spans="1:14" ht="22.5" customHeight="1" x14ac:dyDescent="0.25">
      <c r="A8" s="23">
        <v>5</v>
      </c>
      <c r="B8" s="21" t="s">
        <v>141</v>
      </c>
      <c r="C8" s="46">
        <v>170000</v>
      </c>
      <c r="D8" s="22">
        <f>'NXT T092022'!L8</f>
        <v>0</v>
      </c>
      <c r="E8" s="51">
        <f t="shared" si="0"/>
        <v>0</v>
      </c>
      <c r="F8" s="22"/>
      <c r="G8" s="45"/>
      <c r="H8" s="45">
        <f t="shared" si="1"/>
        <v>0</v>
      </c>
      <c r="I8" s="111"/>
      <c r="J8" s="45"/>
      <c r="K8" s="51">
        <f t="shared" si="2"/>
        <v>0</v>
      </c>
      <c r="L8" s="44">
        <f t="shared" si="3"/>
        <v>0</v>
      </c>
      <c r="M8" s="51">
        <f t="shared" si="4"/>
        <v>0</v>
      </c>
    </row>
    <row r="9" spans="1:14" ht="22.5" customHeight="1" x14ac:dyDescent="0.25">
      <c r="A9" s="23">
        <v>6</v>
      </c>
      <c r="B9" s="21" t="s">
        <v>141</v>
      </c>
      <c r="C9" s="46">
        <v>170000</v>
      </c>
      <c r="D9" s="22">
        <f>'NXT T092022'!L9</f>
        <v>0</v>
      </c>
      <c r="E9" s="51">
        <f t="shared" si="0"/>
        <v>0</v>
      </c>
      <c r="F9" s="22"/>
      <c r="G9" s="45"/>
      <c r="H9" s="45">
        <f t="shared" si="1"/>
        <v>0</v>
      </c>
      <c r="I9" s="111"/>
      <c r="J9" s="45"/>
      <c r="K9" s="51">
        <f t="shared" si="2"/>
        <v>0</v>
      </c>
      <c r="L9" s="44">
        <f t="shared" si="3"/>
        <v>0</v>
      </c>
      <c r="M9" s="51">
        <f t="shared" si="4"/>
        <v>0</v>
      </c>
    </row>
    <row r="10" spans="1:14" ht="22.5" customHeight="1" x14ac:dyDescent="0.25">
      <c r="A10" s="23">
        <v>7</v>
      </c>
      <c r="B10" s="21" t="s">
        <v>142</v>
      </c>
      <c r="C10" s="46">
        <v>44000</v>
      </c>
      <c r="D10" s="22">
        <f>'NXT T092022'!L10</f>
        <v>20.400000000001455</v>
      </c>
      <c r="E10" s="51">
        <f t="shared" si="0"/>
        <v>897600.00000006403</v>
      </c>
      <c r="F10" s="22"/>
      <c r="G10" s="45"/>
      <c r="H10" s="45">
        <f t="shared" si="1"/>
        <v>0</v>
      </c>
      <c r="I10" s="111"/>
      <c r="J10" s="45"/>
      <c r="K10" s="51">
        <f t="shared" si="2"/>
        <v>0</v>
      </c>
      <c r="L10" s="44">
        <f>D10+F10-I10</f>
        <v>20.400000000001455</v>
      </c>
      <c r="M10" s="51">
        <f t="shared" si="4"/>
        <v>897600.00000006403</v>
      </c>
    </row>
    <row r="11" spans="1:14" ht="22.5" customHeight="1" x14ac:dyDescent="0.25">
      <c r="A11" s="23">
        <v>8</v>
      </c>
      <c r="B11" s="21" t="s">
        <v>142</v>
      </c>
      <c r="C11" s="46">
        <v>44000</v>
      </c>
      <c r="D11" s="44">
        <f>'NXT T092022'!L11</f>
        <v>2486.8199999999997</v>
      </c>
      <c r="E11" s="51">
        <f t="shared" si="0"/>
        <v>109420079.99999999</v>
      </c>
      <c r="F11" s="22"/>
      <c r="G11" s="45"/>
      <c r="H11" s="45">
        <f t="shared" si="1"/>
        <v>0</v>
      </c>
      <c r="I11" s="111"/>
      <c r="J11" s="45"/>
      <c r="K11" s="51">
        <f t="shared" si="2"/>
        <v>0</v>
      </c>
      <c r="L11" s="44">
        <f t="shared" si="3"/>
        <v>2486.8199999999997</v>
      </c>
      <c r="M11" s="51">
        <f t="shared" si="4"/>
        <v>109420079.99999999</v>
      </c>
    </row>
    <row r="12" spans="1:14" ht="22.5" customHeight="1" x14ac:dyDescent="0.25">
      <c r="A12" s="23">
        <v>9</v>
      </c>
      <c r="B12" s="21" t="s">
        <v>142</v>
      </c>
      <c r="C12" s="46">
        <v>44000</v>
      </c>
      <c r="D12" s="44">
        <f>'NXT T092022'!L12</f>
        <v>2731</v>
      </c>
      <c r="E12" s="51">
        <f t="shared" si="0"/>
        <v>120164000</v>
      </c>
      <c r="F12" s="22"/>
      <c r="G12" s="45"/>
      <c r="H12" s="45">
        <f t="shared" si="1"/>
        <v>0</v>
      </c>
      <c r="I12" s="111"/>
      <c r="J12" s="45"/>
      <c r="K12" s="51">
        <f t="shared" si="2"/>
        <v>0</v>
      </c>
      <c r="L12" s="44">
        <f t="shared" si="3"/>
        <v>2731</v>
      </c>
      <c r="M12" s="51">
        <f t="shared" si="4"/>
        <v>120164000</v>
      </c>
    </row>
    <row r="13" spans="1:14" ht="22.5" customHeight="1" x14ac:dyDescent="0.25">
      <c r="A13" s="23">
        <v>10</v>
      </c>
      <c r="B13" s="21" t="s">
        <v>142</v>
      </c>
      <c r="C13" s="46">
        <v>44000</v>
      </c>
      <c r="D13" s="22">
        <f>'NXT T092022'!L13</f>
        <v>9472.2000000000007</v>
      </c>
      <c r="E13" s="51">
        <f t="shared" si="0"/>
        <v>416776800.00000006</v>
      </c>
      <c r="F13" s="22"/>
      <c r="G13" s="45"/>
      <c r="H13" s="45">
        <f t="shared" si="1"/>
        <v>0</v>
      </c>
      <c r="I13" s="111">
        <v>5829.6</v>
      </c>
      <c r="J13" s="45">
        <v>44000</v>
      </c>
      <c r="K13" s="51">
        <f t="shared" si="2"/>
        <v>256502400.00000003</v>
      </c>
      <c r="L13" s="44">
        <f t="shared" si="3"/>
        <v>3642.6000000000004</v>
      </c>
      <c r="M13" s="51">
        <f t="shared" si="4"/>
        <v>160274400.00000003</v>
      </c>
      <c r="N13" s="2" t="s">
        <v>169</v>
      </c>
    </row>
    <row r="14" spans="1:14" ht="22.5" customHeight="1" x14ac:dyDescent="0.25">
      <c r="A14" s="23">
        <v>11</v>
      </c>
      <c r="B14" s="21" t="s">
        <v>143</v>
      </c>
      <c r="C14" s="46">
        <v>49500</v>
      </c>
      <c r="D14" s="22">
        <f>'NXT T092022'!L14</f>
        <v>8170</v>
      </c>
      <c r="E14" s="51">
        <f t="shared" si="0"/>
        <v>404415000</v>
      </c>
      <c r="F14" s="22"/>
      <c r="G14" s="45"/>
      <c r="H14" s="45">
        <f t="shared" si="1"/>
        <v>0</v>
      </c>
      <c r="I14" s="111">
        <f>1000+1700</f>
        <v>2700</v>
      </c>
      <c r="J14" s="45">
        <v>49500</v>
      </c>
      <c r="K14" s="51">
        <f t="shared" si="2"/>
        <v>133650000</v>
      </c>
      <c r="L14" s="44">
        <f t="shared" si="3"/>
        <v>5470</v>
      </c>
      <c r="M14" s="51">
        <f t="shared" si="4"/>
        <v>270765000</v>
      </c>
      <c r="N14" s="2" t="s">
        <v>177</v>
      </c>
    </row>
    <row r="15" spans="1:14" ht="22.5" customHeight="1" x14ac:dyDescent="0.25">
      <c r="A15" s="23">
        <v>12</v>
      </c>
      <c r="B15" s="21" t="s">
        <v>151</v>
      </c>
      <c r="C15" s="46">
        <v>52500</v>
      </c>
      <c r="D15" s="22">
        <f>'NXT T092022'!L15</f>
        <v>3780</v>
      </c>
      <c r="E15" s="51">
        <f t="shared" si="0"/>
        <v>198450000</v>
      </c>
      <c r="F15" s="22"/>
      <c r="G15" s="45"/>
      <c r="H15" s="45">
        <f t="shared" si="1"/>
        <v>0</v>
      </c>
      <c r="I15" s="111"/>
      <c r="J15" s="45"/>
      <c r="K15" s="51">
        <f t="shared" si="2"/>
        <v>0</v>
      </c>
      <c r="L15" s="44">
        <f t="shared" si="3"/>
        <v>3780</v>
      </c>
      <c r="M15" s="51">
        <f t="shared" si="4"/>
        <v>198450000</v>
      </c>
    </row>
    <row r="16" spans="1:14" ht="22.5" customHeight="1" x14ac:dyDescent="0.25">
      <c r="A16" s="23">
        <v>13</v>
      </c>
      <c r="B16" s="21" t="s">
        <v>100</v>
      </c>
      <c r="C16" s="46">
        <v>50000</v>
      </c>
      <c r="D16" s="22">
        <f>'NXT T092022'!L16</f>
        <v>12072.290000000003</v>
      </c>
      <c r="E16" s="51">
        <f t="shared" si="0"/>
        <v>603614500.00000012</v>
      </c>
      <c r="F16" s="22"/>
      <c r="G16" s="45"/>
      <c r="H16" s="45">
        <f t="shared" si="1"/>
        <v>0</v>
      </c>
      <c r="I16" s="111"/>
      <c r="J16" s="45"/>
      <c r="K16" s="51">
        <f t="shared" si="2"/>
        <v>0</v>
      </c>
      <c r="L16" s="44">
        <f t="shared" si="3"/>
        <v>12072.290000000003</v>
      </c>
      <c r="M16" s="51">
        <f t="shared" si="4"/>
        <v>603614500.00000012</v>
      </c>
    </row>
    <row r="17" spans="1:14" ht="22.5" customHeight="1" x14ac:dyDescent="0.25">
      <c r="A17" s="23">
        <v>14</v>
      </c>
      <c r="B17" s="21" t="s">
        <v>105</v>
      </c>
      <c r="C17" s="46">
        <v>32000</v>
      </c>
      <c r="D17" s="22">
        <f>'NXT T092022'!L17</f>
        <v>18750</v>
      </c>
      <c r="E17" s="51">
        <f t="shared" si="0"/>
        <v>600000000</v>
      </c>
      <c r="F17" s="22"/>
      <c r="G17" s="45"/>
      <c r="H17" s="45">
        <f t="shared" si="1"/>
        <v>0</v>
      </c>
      <c r="I17" s="111">
        <f>510+1050+750</f>
        <v>2310</v>
      </c>
      <c r="J17" s="45">
        <v>32000</v>
      </c>
      <c r="K17" s="51">
        <f t="shared" si="2"/>
        <v>73920000</v>
      </c>
      <c r="L17" s="44">
        <f t="shared" si="3"/>
        <v>16440</v>
      </c>
      <c r="M17" s="51">
        <f t="shared" si="4"/>
        <v>526080000</v>
      </c>
      <c r="N17" s="2" t="s">
        <v>176</v>
      </c>
    </row>
    <row r="18" spans="1:14" ht="22.5" customHeight="1" x14ac:dyDescent="0.25">
      <c r="A18" s="113">
        <v>15</v>
      </c>
      <c r="B18" s="114" t="s">
        <v>130</v>
      </c>
      <c r="C18" s="115">
        <v>41500</v>
      </c>
      <c r="D18" s="70">
        <f>'NXT T092022'!L18</f>
        <v>20660</v>
      </c>
      <c r="E18" s="116">
        <f>C18*D18</f>
        <v>857390000</v>
      </c>
      <c r="F18" s="70"/>
      <c r="G18" s="117"/>
      <c r="H18" s="45">
        <f t="shared" si="1"/>
        <v>0</v>
      </c>
      <c r="I18" s="111"/>
      <c r="J18" s="45"/>
      <c r="K18" s="51">
        <f t="shared" si="2"/>
        <v>0</v>
      </c>
      <c r="L18" s="44">
        <f t="shared" si="3"/>
        <v>20660</v>
      </c>
      <c r="M18" s="51">
        <f t="shared" si="4"/>
        <v>857390000</v>
      </c>
    </row>
    <row r="19" spans="1:14" ht="22.5" customHeight="1" x14ac:dyDescent="0.25">
      <c r="A19" s="113">
        <v>16</v>
      </c>
      <c r="B19" s="114" t="s">
        <v>144</v>
      </c>
      <c r="C19" s="115">
        <v>40000</v>
      </c>
      <c r="D19" s="70">
        <f>'NXT T092022'!L19</f>
        <v>2646.2510000000002</v>
      </c>
      <c r="E19" s="116">
        <f t="shared" ref="E19:E32" si="5">C19*D19</f>
        <v>105850040.00000001</v>
      </c>
      <c r="F19" s="118"/>
      <c r="G19" s="117"/>
      <c r="H19" s="45">
        <f t="shared" si="1"/>
        <v>0</v>
      </c>
      <c r="I19" s="111"/>
      <c r="J19" s="45"/>
      <c r="K19" s="51">
        <f t="shared" si="2"/>
        <v>0</v>
      </c>
      <c r="L19" s="44">
        <f t="shared" si="3"/>
        <v>2646.2510000000002</v>
      </c>
      <c r="M19" s="51">
        <f t="shared" si="4"/>
        <v>105850040.00000001</v>
      </c>
    </row>
    <row r="20" spans="1:14" ht="22.5" customHeight="1" x14ac:dyDescent="0.25">
      <c r="A20" s="113">
        <v>17</v>
      </c>
      <c r="B20" s="114" t="s">
        <v>123</v>
      </c>
      <c r="C20" s="115">
        <v>49000</v>
      </c>
      <c r="D20" s="70">
        <f>'NXT T092022'!L20</f>
        <v>15012.71</v>
      </c>
      <c r="E20" s="116">
        <f t="shared" si="5"/>
        <v>735622790</v>
      </c>
      <c r="F20" s="70"/>
      <c r="G20" s="117"/>
      <c r="H20" s="45">
        <f t="shared" si="1"/>
        <v>0</v>
      </c>
      <c r="I20" s="111">
        <f>4811.68+7618.6</f>
        <v>12430.28</v>
      </c>
      <c r="J20" s="45">
        <v>49000</v>
      </c>
      <c r="K20" s="51">
        <f t="shared" si="2"/>
        <v>609083720</v>
      </c>
      <c r="L20" s="44">
        <f t="shared" si="3"/>
        <v>2582.4299999999985</v>
      </c>
      <c r="M20" s="51">
        <f t="shared" si="4"/>
        <v>126539070</v>
      </c>
      <c r="N20" s="2" t="s">
        <v>172</v>
      </c>
    </row>
    <row r="21" spans="1:14" ht="22.5" customHeight="1" x14ac:dyDescent="0.25">
      <c r="A21" s="113">
        <v>18</v>
      </c>
      <c r="B21" s="114" t="s">
        <v>132</v>
      </c>
      <c r="C21" s="115">
        <v>160000</v>
      </c>
      <c r="D21" s="70">
        <f>'NXT T092022'!L21</f>
        <v>343.64</v>
      </c>
      <c r="E21" s="116">
        <f t="shared" si="5"/>
        <v>54982400</v>
      </c>
      <c r="F21" s="70"/>
      <c r="G21" s="117"/>
      <c r="H21" s="45">
        <f t="shared" si="1"/>
        <v>0</v>
      </c>
      <c r="I21" s="111"/>
      <c r="J21" s="45"/>
      <c r="K21" s="51">
        <f t="shared" si="2"/>
        <v>0</v>
      </c>
      <c r="L21" s="44">
        <f t="shared" si="3"/>
        <v>343.64</v>
      </c>
      <c r="M21" s="51">
        <f t="shared" si="4"/>
        <v>54982400</v>
      </c>
    </row>
    <row r="22" spans="1:14" ht="22.5" customHeight="1" x14ac:dyDescent="0.25">
      <c r="A22" s="113">
        <v>19</v>
      </c>
      <c r="B22" s="114" t="s">
        <v>144</v>
      </c>
      <c r="C22" s="115">
        <v>38000</v>
      </c>
      <c r="D22" s="70">
        <f>'NXT T092022'!L22</f>
        <v>28307.54</v>
      </c>
      <c r="E22" s="116">
        <f t="shared" si="5"/>
        <v>1075686520</v>
      </c>
      <c r="F22" s="70"/>
      <c r="G22" s="117"/>
      <c r="H22" s="45">
        <f t="shared" si="1"/>
        <v>0</v>
      </c>
      <c r="I22" s="111"/>
      <c r="J22" s="45"/>
      <c r="K22" s="51">
        <f t="shared" si="2"/>
        <v>0</v>
      </c>
      <c r="L22" s="44">
        <f t="shared" si="3"/>
        <v>28307.54</v>
      </c>
      <c r="M22" s="51">
        <f t="shared" si="4"/>
        <v>1075686520</v>
      </c>
    </row>
    <row r="23" spans="1:14" ht="22.5" customHeight="1" x14ac:dyDescent="0.25">
      <c r="A23" s="113">
        <v>20</v>
      </c>
      <c r="B23" s="114" t="s">
        <v>145</v>
      </c>
      <c r="C23" s="115">
        <v>40904</v>
      </c>
      <c r="D23" s="70">
        <f>'NXT T092022'!L23</f>
        <v>11046.73</v>
      </c>
      <c r="E23" s="116">
        <f t="shared" si="5"/>
        <v>451855443.91999996</v>
      </c>
      <c r="F23" s="70"/>
      <c r="G23" s="117"/>
      <c r="H23" s="45">
        <f t="shared" si="1"/>
        <v>0</v>
      </c>
      <c r="I23" s="111"/>
      <c r="J23" s="45"/>
      <c r="K23" s="51">
        <f t="shared" si="2"/>
        <v>0</v>
      </c>
      <c r="L23" s="44">
        <f t="shared" si="3"/>
        <v>11046.73</v>
      </c>
      <c r="M23" s="51">
        <f t="shared" si="4"/>
        <v>451855443.91999996</v>
      </c>
    </row>
    <row r="24" spans="1:14" ht="22.5" customHeight="1" x14ac:dyDescent="0.25">
      <c r="A24" s="113">
        <v>21</v>
      </c>
      <c r="B24" s="114" t="s">
        <v>146</v>
      </c>
      <c r="C24" s="115">
        <v>40904</v>
      </c>
      <c r="D24" s="70">
        <f>'NXT T092022'!L24</f>
        <v>12489.83</v>
      </c>
      <c r="E24" s="116">
        <f t="shared" si="5"/>
        <v>510884006.31999999</v>
      </c>
      <c r="F24" s="70"/>
      <c r="G24" s="117"/>
      <c r="H24" s="45">
        <f t="shared" si="1"/>
        <v>0</v>
      </c>
      <c r="I24" s="111">
        <f>546.61+1071.22+531.85</f>
        <v>2149.6799999999998</v>
      </c>
      <c r="J24" s="45">
        <v>40904</v>
      </c>
      <c r="K24" s="51">
        <f t="shared" si="2"/>
        <v>87930510.719999999</v>
      </c>
      <c r="L24" s="44">
        <f t="shared" si="3"/>
        <v>10340.15</v>
      </c>
      <c r="M24" s="51">
        <f t="shared" si="4"/>
        <v>422953495.60000002</v>
      </c>
      <c r="N24" s="2" t="s">
        <v>180</v>
      </c>
    </row>
    <row r="25" spans="1:14" s="121" customFormat="1" ht="22.5" customHeight="1" x14ac:dyDescent="0.25">
      <c r="A25" s="113">
        <v>24</v>
      </c>
      <c r="B25" s="114" t="s">
        <v>144</v>
      </c>
      <c r="C25" s="115">
        <v>49500</v>
      </c>
      <c r="D25" s="70">
        <f>'NXT T092022'!L25</f>
        <v>27856</v>
      </c>
      <c r="E25" s="116">
        <f t="shared" si="5"/>
        <v>1378872000</v>
      </c>
      <c r="F25" s="70"/>
      <c r="G25" s="117"/>
      <c r="H25" s="45">
        <f t="shared" si="1"/>
        <v>0</v>
      </c>
      <c r="I25" s="119">
        <v>2186.29</v>
      </c>
      <c r="J25" s="45">
        <v>40904</v>
      </c>
      <c r="K25" s="51">
        <f t="shared" si="2"/>
        <v>89428006.159999996</v>
      </c>
      <c r="L25" s="120">
        <f t="shared" si="3"/>
        <v>25669.71</v>
      </c>
      <c r="M25" s="116">
        <f t="shared" si="4"/>
        <v>1289443993.8399999</v>
      </c>
      <c r="N25" s="2" t="s">
        <v>169</v>
      </c>
    </row>
    <row r="26" spans="1:14" s="121" customFormat="1" ht="22.5" customHeight="1" x14ac:dyDescent="0.25">
      <c r="A26" s="113">
        <v>25</v>
      </c>
      <c r="B26" s="114" t="s">
        <v>130</v>
      </c>
      <c r="C26" s="115">
        <v>41000</v>
      </c>
      <c r="D26" s="70">
        <f>'NXT T092022'!L26</f>
        <v>20994.6</v>
      </c>
      <c r="E26" s="116">
        <f t="shared" si="5"/>
        <v>860778599.99999988</v>
      </c>
      <c r="F26" s="70"/>
      <c r="G26" s="117"/>
      <c r="H26" s="45">
        <f t="shared" si="1"/>
        <v>0</v>
      </c>
      <c r="I26" s="119"/>
      <c r="J26" s="117"/>
      <c r="K26" s="51">
        <f t="shared" si="2"/>
        <v>0</v>
      </c>
      <c r="L26" s="120">
        <f t="shared" si="3"/>
        <v>20994.6</v>
      </c>
      <c r="M26" s="116">
        <f t="shared" si="4"/>
        <v>860778599.99999988</v>
      </c>
    </row>
    <row r="27" spans="1:14" s="121" customFormat="1" ht="22.5" customHeight="1" x14ac:dyDescent="0.25">
      <c r="A27" s="113">
        <v>26</v>
      </c>
      <c r="B27" s="114" t="s">
        <v>123</v>
      </c>
      <c r="C27" s="115">
        <v>47500</v>
      </c>
      <c r="D27" s="70">
        <f>'NXT T092022'!L27</f>
        <v>53694.52</v>
      </c>
      <c r="E27" s="116">
        <f t="shared" si="5"/>
        <v>2550489700</v>
      </c>
      <c r="F27" s="70"/>
      <c r="G27" s="117"/>
      <c r="H27" s="45">
        <f t="shared" si="1"/>
        <v>0</v>
      </c>
      <c r="I27" s="119">
        <v>7182.42</v>
      </c>
      <c r="J27" s="117"/>
      <c r="K27" s="51">
        <f t="shared" si="2"/>
        <v>0</v>
      </c>
      <c r="L27" s="120">
        <f t="shared" si="3"/>
        <v>46512.1</v>
      </c>
      <c r="M27" s="116">
        <f t="shared" si="4"/>
        <v>2550489700</v>
      </c>
      <c r="N27" s="2" t="s">
        <v>178</v>
      </c>
    </row>
    <row r="28" spans="1:14" s="121" customFormat="1" ht="22.5" customHeight="1" x14ac:dyDescent="0.25">
      <c r="A28" s="113">
        <v>27</v>
      </c>
      <c r="B28" s="114" t="s">
        <v>158</v>
      </c>
      <c r="C28" s="115">
        <v>163000</v>
      </c>
      <c r="D28" s="70">
        <f>'NXT T092022'!L28</f>
        <v>1166.28</v>
      </c>
      <c r="E28" s="116">
        <f t="shared" si="5"/>
        <v>190103640</v>
      </c>
      <c r="F28" s="70"/>
      <c r="G28" s="117"/>
      <c r="H28" s="45">
        <f t="shared" si="1"/>
        <v>0</v>
      </c>
      <c r="I28" s="119"/>
      <c r="J28" s="117"/>
      <c r="K28" s="51">
        <f t="shared" si="2"/>
        <v>0</v>
      </c>
      <c r="L28" s="120">
        <f t="shared" si="3"/>
        <v>1166.28</v>
      </c>
      <c r="M28" s="116">
        <f t="shared" si="4"/>
        <v>190103640</v>
      </c>
      <c r="N28" s="2"/>
    </row>
    <row r="29" spans="1:14" s="121" customFormat="1" ht="22.5" customHeight="1" x14ac:dyDescent="0.25">
      <c r="A29" s="113">
        <v>28</v>
      </c>
      <c r="B29" s="114" t="s">
        <v>130</v>
      </c>
      <c r="C29" s="115">
        <v>42000</v>
      </c>
      <c r="D29" s="70">
        <f>'NXT T092022'!L29</f>
        <v>20885.12</v>
      </c>
      <c r="E29" s="116">
        <f t="shared" si="5"/>
        <v>877175040</v>
      </c>
      <c r="F29" s="70"/>
      <c r="G29" s="117"/>
      <c r="H29" s="45">
        <f t="shared" si="1"/>
        <v>0</v>
      </c>
      <c r="I29" s="119"/>
      <c r="J29" s="117"/>
      <c r="K29" s="51">
        <f t="shared" si="2"/>
        <v>0</v>
      </c>
      <c r="L29" s="120">
        <f t="shared" si="3"/>
        <v>20885.12</v>
      </c>
      <c r="M29" s="116">
        <f t="shared" si="4"/>
        <v>877175040</v>
      </c>
    </row>
    <row r="30" spans="1:14" s="121" customFormat="1" ht="22.5" customHeight="1" x14ac:dyDescent="0.25">
      <c r="A30" s="113">
        <v>29</v>
      </c>
      <c r="B30" s="114" t="s">
        <v>130</v>
      </c>
      <c r="C30" s="115"/>
      <c r="D30" s="70"/>
      <c r="E30" s="116">
        <f t="shared" si="5"/>
        <v>0</v>
      </c>
      <c r="F30" s="70">
        <v>20988.6</v>
      </c>
      <c r="G30" s="117">
        <v>41000</v>
      </c>
      <c r="H30" s="117">
        <f t="shared" si="1"/>
        <v>860532599.99999988</v>
      </c>
      <c r="I30" s="119"/>
      <c r="J30" s="117"/>
      <c r="K30" s="51">
        <f t="shared" si="2"/>
        <v>0</v>
      </c>
      <c r="L30" s="120">
        <f t="shared" si="3"/>
        <v>20988.6</v>
      </c>
      <c r="M30" s="116">
        <f t="shared" si="4"/>
        <v>860532599.99999988</v>
      </c>
      <c r="N30" s="121" t="s">
        <v>168</v>
      </c>
    </row>
    <row r="31" spans="1:14" s="121" customFormat="1" ht="22.5" customHeight="1" x14ac:dyDescent="0.25">
      <c r="A31" s="113">
        <v>26</v>
      </c>
      <c r="B31" s="114" t="s">
        <v>171</v>
      </c>
      <c r="C31" s="115"/>
      <c r="D31" s="70"/>
      <c r="E31" s="116">
        <f t="shared" si="5"/>
        <v>0</v>
      </c>
      <c r="F31" s="70">
        <f>442.2+447.9+733.8</f>
        <v>1623.8999999999999</v>
      </c>
      <c r="G31" s="117">
        <v>168000</v>
      </c>
      <c r="H31" s="117">
        <f t="shared" si="1"/>
        <v>272815200</v>
      </c>
      <c r="I31" s="119">
        <f>442.2+1181.7</f>
        <v>1623.9</v>
      </c>
      <c r="J31" s="117">
        <v>168000</v>
      </c>
      <c r="K31" s="116">
        <f t="shared" si="2"/>
        <v>272815200</v>
      </c>
      <c r="L31" s="120">
        <f t="shared" si="3"/>
        <v>0</v>
      </c>
      <c r="M31" s="116">
        <f t="shared" si="4"/>
        <v>0</v>
      </c>
      <c r="N31" s="121" t="s">
        <v>173</v>
      </c>
    </row>
    <row r="32" spans="1:14" s="121" customFormat="1" ht="22.5" customHeight="1" x14ac:dyDescent="0.25">
      <c r="A32" s="113">
        <v>27</v>
      </c>
      <c r="B32" s="114" t="s">
        <v>130</v>
      </c>
      <c r="C32" s="115"/>
      <c r="D32" s="70"/>
      <c r="E32" s="116">
        <f t="shared" si="5"/>
        <v>0</v>
      </c>
      <c r="F32" s="70">
        <v>20982.33</v>
      </c>
      <c r="G32" s="117">
        <v>38000</v>
      </c>
      <c r="H32" s="117">
        <f>F32*G32</f>
        <v>797328540.00000012</v>
      </c>
      <c r="I32" s="119"/>
      <c r="J32" s="117"/>
      <c r="K32" s="116">
        <f t="shared" si="2"/>
        <v>0</v>
      </c>
      <c r="L32" s="120">
        <f t="shared" si="3"/>
        <v>20982.33</v>
      </c>
      <c r="M32" s="116">
        <f t="shared" si="4"/>
        <v>797328540.00000012</v>
      </c>
      <c r="N32" s="121" t="s">
        <v>174</v>
      </c>
    </row>
    <row r="33" spans="1:14" s="121" customFormat="1" ht="22.5" customHeight="1" x14ac:dyDescent="0.25">
      <c r="A33" s="113">
        <v>28</v>
      </c>
      <c r="B33" s="114" t="s">
        <v>144</v>
      </c>
      <c r="C33" s="115"/>
      <c r="D33" s="70"/>
      <c r="E33" s="116"/>
      <c r="F33" s="70">
        <v>2697</v>
      </c>
      <c r="G33" s="117">
        <v>49500</v>
      </c>
      <c r="H33" s="117">
        <f>F33*G33</f>
        <v>133501500</v>
      </c>
      <c r="I33" s="119"/>
      <c r="J33" s="117"/>
      <c r="K33" s="116">
        <f t="shared" si="2"/>
        <v>0</v>
      </c>
      <c r="L33" s="120">
        <f t="shared" si="3"/>
        <v>2697</v>
      </c>
      <c r="M33" s="116">
        <f t="shared" si="4"/>
        <v>133501500</v>
      </c>
      <c r="N33" s="121" t="s">
        <v>175</v>
      </c>
    </row>
    <row r="34" spans="1:14" s="121" customFormat="1" ht="22.5" customHeight="1" x14ac:dyDescent="0.25">
      <c r="A34" s="113"/>
      <c r="B34" s="114" t="s">
        <v>171</v>
      </c>
      <c r="C34" s="115"/>
      <c r="D34" s="70"/>
      <c r="E34" s="116"/>
      <c r="F34" s="70">
        <v>437.6</v>
      </c>
      <c r="G34" s="117">
        <v>168000</v>
      </c>
      <c r="H34" s="117">
        <f>F34*G34</f>
        <v>73516800</v>
      </c>
      <c r="I34" s="119">
        <v>437.6</v>
      </c>
      <c r="J34" s="117">
        <v>168000</v>
      </c>
      <c r="K34" s="116">
        <f t="shared" si="2"/>
        <v>73516800</v>
      </c>
      <c r="L34" s="120">
        <f t="shared" si="3"/>
        <v>0</v>
      </c>
      <c r="M34" s="116">
        <f t="shared" si="4"/>
        <v>0</v>
      </c>
      <c r="N34" s="121" t="s">
        <v>181</v>
      </c>
    </row>
    <row r="35" spans="1:14" s="1" customFormat="1" ht="22.5" customHeight="1" x14ac:dyDescent="0.2">
      <c r="A35" s="87"/>
      <c r="B35" s="87" t="s">
        <v>25</v>
      </c>
      <c r="C35" s="87"/>
      <c r="D35" s="88">
        <f>SUM(D4:D31)</f>
        <v>286087.17100000003</v>
      </c>
      <c r="E35" s="109">
        <f t="shared" ref="E35:M35" si="6">SUM(E4:E31)</f>
        <v>12817755680.24</v>
      </c>
      <c r="F35" s="88">
        <f t="shared" si="6"/>
        <v>22612.5</v>
      </c>
      <c r="G35" s="88">
        <f t="shared" si="6"/>
        <v>209000</v>
      </c>
      <c r="H35" s="109">
        <f t="shared" si="6"/>
        <v>1133347800</v>
      </c>
      <c r="I35" s="112">
        <f t="shared" si="6"/>
        <v>41422.380000000005</v>
      </c>
      <c r="J35" s="88">
        <f t="shared" si="6"/>
        <v>595308</v>
      </c>
      <c r="K35" s="109">
        <f t="shared" si="6"/>
        <v>1815687916.8800001</v>
      </c>
      <c r="L35" s="88">
        <f t="shared" si="6"/>
        <v>267277.29099999997</v>
      </c>
      <c r="M35" s="109">
        <f t="shared" si="6"/>
        <v>12135415563.360001</v>
      </c>
    </row>
  </sheetData>
  <mergeCells count="7">
    <mergeCell ref="A1:M1"/>
    <mergeCell ref="A2:A3"/>
    <mergeCell ref="B2:B3"/>
    <mergeCell ref="D2:E2"/>
    <mergeCell ref="F2:H2"/>
    <mergeCell ref="I2:K2"/>
    <mergeCell ref="L2:M2"/>
  </mergeCells>
  <conditionalFormatting sqref="D11:D12 E4:E34 K4:M34">
    <cfRule type="expression" dxfId="2" priority="1">
      <formula>AND(($P4-TODAY())&lt;90,NOT(ISBLANK($P4)))</formula>
    </cfRule>
  </conditionalFormatting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C34" workbookViewId="0">
      <selection activeCell="A24" sqref="A24:XFD24"/>
    </sheetView>
  </sheetViews>
  <sheetFormatPr defaultRowHeight="15" x14ac:dyDescent="0.25"/>
  <cols>
    <col min="1" max="1" width="5.42578125" style="2" customWidth="1"/>
    <col min="2" max="2" width="38.28515625" style="2" customWidth="1"/>
    <col min="3" max="3" width="11.28515625" style="2" customWidth="1"/>
    <col min="4" max="4" width="13" style="2" customWidth="1"/>
    <col min="5" max="5" width="15.7109375" style="2" customWidth="1"/>
    <col min="6" max="6" width="13" style="2" customWidth="1"/>
    <col min="7" max="7" width="11.5703125" style="2" customWidth="1"/>
    <col min="8" max="8" width="16.28515625" style="2" customWidth="1"/>
    <col min="9" max="9" width="11.42578125" style="15" customWidth="1"/>
    <col min="10" max="10" width="11.85546875" style="2" customWidth="1"/>
    <col min="11" max="11" width="16.28515625" style="2" customWidth="1"/>
    <col min="12" max="12" width="11.5703125" style="2" customWidth="1"/>
    <col min="13" max="13" width="16.85546875" style="2" customWidth="1"/>
    <col min="14" max="14" width="43.140625" style="2" customWidth="1"/>
    <col min="15" max="16384" width="9.140625" style="2"/>
  </cols>
  <sheetData>
    <row r="1" spans="1:14" ht="22.5" customHeight="1" x14ac:dyDescent="0.3">
      <c r="A1" s="137" t="s">
        <v>182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4" s="1" customFormat="1" ht="22.5" customHeight="1" x14ac:dyDescent="0.2">
      <c r="A2" s="133" t="s">
        <v>138</v>
      </c>
      <c r="B2" s="133" t="s">
        <v>18</v>
      </c>
      <c r="C2" s="92" t="s">
        <v>34</v>
      </c>
      <c r="D2" s="131" t="s">
        <v>33</v>
      </c>
      <c r="E2" s="132"/>
      <c r="F2" s="131" t="s">
        <v>21</v>
      </c>
      <c r="G2" s="135"/>
      <c r="H2" s="132"/>
      <c r="I2" s="131" t="s">
        <v>22</v>
      </c>
      <c r="J2" s="135"/>
      <c r="K2" s="132"/>
      <c r="L2" s="131" t="s">
        <v>23</v>
      </c>
      <c r="M2" s="132"/>
    </row>
    <row r="3" spans="1:14" s="108" customFormat="1" ht="22.5" customHeight="1" x14ac:dyDescent="0.2">
      <c r="A3" s="134"/>
      <c r="B3" s="134"/>
      <c r="C3" s="105" t="s">
        <v>57</v>
      </c>
      <c r="D3" s="96"/>
      <c r="E3" s="96"/>
      <c r="F3" s="96" t="s">
        <v>19</v>
      </c>
      <c r="G3" s="96" t="s">
        <v>34</v>
      </c>
      <c r="H3" s="96" t="s">
        <v>20</v>
      </c>
      <c r="I3" s="110" t="s">
        <v>19</v>
      </c>
      <c r="J3" s="96" t="s">
        <v>34</v>
      </c>
      <c r="K3" s="96" t="s">
        <v>20</v>
      </c>
      <c r="L3" s="96" t="s">
        <v>19</v>
      </c>
      <c r="M3" s="96" t="s">
        <v>20</v>
      </c>
    </row>
    <row r="4" spans="1:14" ht="22.5" customHeight="1" x14ac:dyDescent="0.25">
      <c r="A4" s="23">
        <v>1</v>
      </c>
      <c r="B4" s="21" t="s">
        <v>139</v>
      </c>
      <c r="C4" s="46">
        <v>52000</v>
      </c>
      <c r="D4" s="22">
        <f>'NXT T102022'!L4</f>
        <v>3600</v>
      </c>
      <c r="E4" s="116">
        <f>C4*D4</f>
        <v>187200000</v>
      </c>
      <c r="F4" s="22">
        <v>900</v>
      </c>
      <c r="G4" s="45">
        <v>52000</v>
      </c>
      <c r="H4" s="45">
        <f>F4*G4</f>
        <v>46800000</v>
      </c>
      <c r="I4" s="111"/>
      <c r="J4" s="45"/>
      <c r="K4" s="51">
        <f>I4*J4</f>
        <v>0</v>
      </c>
      <c r="L4" s="44">
        <f>D4+F4-I4</f>
        <v>4500</v>
      </c>
      <c r="M4" s="51">
        <f>E4+H4-K4</f>
        <v>234000000</v>
      </c>
      <c r="N4" s="2" t="s">
        <v>186</v>
      </c>
    </row>
    <row r="5" spans="1:14" ht="22.5" customHeight="1" x14ac:dyDescent="0.25">
      <c r="A5" s="23">
        <v>2</v>
      </c>
      <c r="B5" s="21" t="s">
        <v>140</v>
      </c>
      <c r="C5" s="46">
        <v>71000</v>
      </c>
      <c r="D5" s="22">
        <f>'NXT T102022'!L5</f>
        <v>0</v>
      </c>
      <c r="E5" s="116">
        <f t="shared" ref="E5:E29" si="0">C5*D5</f>
        <v>0</v>
      </c>
      <c r="F5" s="22"/>
      <c r="G5" s="45"/>
      <c r="H5" s="45">
        <f t="shared" ref="H5:H44" si="1">F5*G5</f>
        <v>0</v>
      </c>
      <c r="I5" s="111"/>
      <c r="J5" s="45"/>
      <c r="K5" s="51">
        <f t="shared" ref="K5:K34" si="2">I5*J5</f>
        <v>0</v>
      </c>
      <c r="L5" s="44">
        <f>D5+F5-I5</f>
        <v>0</v>
      </c>
      <c r="M5" s="51">
        <f t="shared" ref="M5:M34" si="3">E5+H5-K5</f>
        <v>0</v>
      </c>
    </row>
    <row r="6" spans="1:14" ht="22.5" customHeight="1" x14ac:dyDescent="0.25">
      <c r="A6" s="23">
        <v>3</v>
      </c>
      <c r="B6" s="21" t="s">
        <v>151</v>
      </c>
      <c r="C6" s="46">
        <v>48000</v>
      </c>
      <c r="D6" s="22">
        <f>'NXT T102022'!L6</f>
        <v>3012.7199999999993</v>
      </c>
      <c r="E6" s="116">
        <f t="shared" si="0"/>
        <v>144610559.99999997</v>
      </c>
      <c r="F6" s="22"/>
      <c r="G6" s="45"/>
      <c r="H6" s="45">
        <f t="shared" si="1"/>
        <v>0</v>
      </c>
      <c r="I6" s="111"/>
      <c r="J6" s="45"/>
      <c r="K6" s="51">
        <f t="shared" si="2"/>
        <v>0</v>
      </c>
      <c r="L6" s="44">
        <f t="shared" ref="L6:L34" si="4">D6+F6-I6</f>
        <v>3012.7199999999993</v>
      </c>
      <c r="M6" s="51">
        <f t="shared" si="3"/>
        <v>144610559.99999997</v>
      </c>
    </row>
    <row r="7" spans="1:14" ht="22.5" customHeight="1" x14ac:dyDescent="0.25">
      <c r="A7" s="23">
        <v>4</v>
      </c>
      <c r="B7" s="21" t="s">
        <v>100</v>
      </c>
      <c r="C7" s="46">
        <v>48000</v>
      </c>
      <c r="D7" s="22">
        <f>'NXT T102022'!L7</f>
        <v>1878.31</v>
      </c>
      <c r="E7" s="116">
        <f t="shared" si="0"/>
        <v>90158880</v>
      </c>
      <c r="F7" s="22">
        <v>982.26</v>
      </c>
      <c r="G7" s="45">
        <v>48000</v>
      </c>
      <c r="H7" s="45">
        <f t="shared" si="1"/>
        <v>47148480</v>
      </c>
      <c r="I7" s="111"/>
      <c r="J7" s="45"/>
      <c r="K7" s="51">
        <f t="shared" si="2"/>
        <v>0</v>
      </c>
      <c r="L7" s="44">
        <f t="shared" si="4"/>
        <v>2860.5699999999997</v>
      </c>
      <c r="M7" s="51">
        <f t="shared" si="3"/>
        <v>137307360</v>
      </c>
      <c r="N7" s="2" t="s">
        <v>186</v>
      </c>
    </row>
    <row r="8" spans="1:14" ht="22.5" customHeight="1" x14ac:dyDescent="0.25">
      <c r="A8" s="23">
        <v>5</v>
      </c>
      <c r="B8" s="21" t="s">
        <v>141</v>
      </c>
      <c r="C8" s="46">
        <v>170000</v>
      </c>
      <c r="D8" s="22">
        <f>'NXT T102022'!L8</f>
        <v>0</v>
      </c>
      <c r="E8" s="116">
        <f t="shared" si="0"/>
        <v>0</v>
      </c>
      <c r="F8" s="22"/>
      <c r="G8" s="45"/>
      <c r="H8" s="45">
        <f t="shared" si="1"/>
        <v>0</v>
      </c>
      <c r="I8" s="111"/>
      <c r="J8" s="45"/>
      <c r="K8" s="51">
        <f t="shared" si="2"/>
        <v>0</v>
      </c>
      <c r="L8" s="44">
        <f t="shared" si="4"/>
        <v>0</v>
      </c>
      <c r="M8" s="51">
        <f t="shared" si="3"/>
        <v>0</v>
      </c>
    </row>
    <row r="9" spans="1:14" ht="22.5" customHeight="1" x14ac:dyDescent="0.25">
      <c r="A9" s="23">
        <v>6</v>
      </c>
      <c r="B9" s="21" t="s">
        <v>141</v>
      </c>
      <c r="C9" s="46">
        <v>170000</v>
      </c>
      <c r="D9" s="22">
        <f>'NXT T102022'!L9</f>
        <v>0</v>
      </c>
      <c r="E9" s="116">
        <f t="shared" si="0"/>
        <v>0</v>
      </c>
      <c r="F9" s="22"/>
      <c r="G9" s="45"/>
      <c r="H9" s="45">
        <f t="shared" si="1"/>
        <v>0</v>
      </c>
      <c r="I9" s="111"/>
      <c r="J9" s="45"/>
      <c r="K9" s="51">
        <f t="shared" si="2"/>
        <v>0</v>
      </c>
      <c r="L9" s="44">
        <f t="shared" si="4"/>
        <v>0</v>
      </c>
      <c r="M9" s="51">
        <f t="shared" si="3"/>
        <v>0</v>
      </c>
    </row>
    <row r="10" spans="1:14" ht="22.5" customHeight="1" x14ac:dyDescent="0.25">
      <c r="A10" s="23">
        <v>7</v>
      </c>
      <c r="B10" s="21" t="s">
        <v>142</v>
      </c>
      <c r="C10" s="46">
        <v>44000</v>
      </c>
      <c r="D10" s="22">
        <f>'NXT T102022'!L10</f>
        <v>20.400000000001455</v>
      </c>
      <c r="E10" s="116">
        <f t="shared" si="0"/>
        <v>897600.00000006403</v>
      </c>
      <c r="F10" s="22"/>
      <c r="G10" s="45"/>
      <c r="H10" s="45">
        <f t="shared" si="1"/>
        <v>0</v>
      </c>
      <c r="I10" s="111"/>
      <c r="J10" s="45"/>
      <c r="K10" s="51">
        <f t="shared" si="2"/>
        <v>0</v>
      </c>
      <c r="L10" s="44">
        <f>D10+F10-I10</f>
        <v>20.400000000001455</v>
      </c>
      <c r="M10" s="51">
        <f t="shared" si="3"/>
        <v>897600.00000006403</v>
      </c>
    </row>
    <row r="11" spans="1:14" ht="22.5" customHeight="1" x14ac:dyDescent="0.25">
      <c r="A11" s="23">
        <v>8</v>
      </c>
      <c r="B11" s="21" t="s">
        <v>142</v>
      </c>
      <c r="C11" s="46">
        <v>44000</v>
      </c>
      <c r="D11" s="44">
        <f>'NXT T102022'!L11</f>
        <v>2486.8199999999997</v>
      </c>
      <c r="E11" s="116">
        <f t="shared" si="0"/>
        <v>109420079.99999999</v>
      </c>
      <c r="F11" s="22"/>
      <c r="G11" s="45"/>
      <c r="H11" s="45">
        <f t="shared" si="1"/>
        <v>0</v>
      </c>
      <c r="I11" s="111"/>
      <c r="J11" s="45"/>
      <c r="K11" s="51">
        <f t="shared" si="2"/>
        <v>0</v>
      </c>
      <c r="L11" s="44">
        <f t="shared" si="4"/>
        <v>2486.8199999999997</v>
      </c>
      <c r="M11" s="51">
        <f t="shared" si="3"/>
        <v>109420079.99999999</v>
      </c>
    </row>
    <row r="12" spans="1:14" ht="22.5" customHeight="1" x14ac:dyDescent="0.25">
      <c r="A12" s="23">
        <v>9</v>
      </c>
      <c r="B12" s="21" t="s">
        <v>142</v>
      </c>
      <c r="C12" s="46">
        <v>44000</v>
      </c>
      <c r="D12" s="44">
        <f>'NXT T102022'!L12</f>
        <v>2731</v>
      </c>
      <c r="E12" s="116">
        <f t="shared" si="0"/>
        <v>120164000</v>
      </c>
      <c r="F12" s="22"/>
      <c r="G12" s="45"/>
      <c r="H12" s="45">
        <f t="shared" si="1"/>
        <v>0</v>
      </c>
      <c r="I12" s="111"/>
      <c r="J12" s="45"/>
      <c r="K12" s="51">
        <f t="shared" si="2"/>
        <v>0</v>
      </c>
      <c r="L12" s="44">
        <f t="shared" si="4"/>
        <v>2731</v>
      </c>
      <c r="M12" s="51">
        <f t="shared" si="3"/>
        <v>120164000</v>
      </c>
    </row>
    <row r="13" spans="1:14" ht="22.5" customHeight="1" x14ac:dyDescent="0.25">
      <c r="A13" s="23">
        <v>10</v>
      </c>
      <c r="B13" s="21" t="s">
        <v>142</v>
      </c>
      <c r="C13" s="46">
        <v>44000</v>
      </c>
      <c r="D13" s="22">
        <f>'NXT T102022'!L13</f>
        <v>3642.6000000000004</v>
      </c>
      <c r="E13" s="116">
        <f t="shared" si="0"/>
        <v>160274400.00000003</v>
      </c>
      <c r="F13" s="22"/>
      <c r="G13" s="45"/>
      <c r="H13" s="45">
        <f t="shared" si="1"/>
        <v>0</v>
      </c>
      <c r="I13" s="111"/>
      <c r="J13" s="45"/>
      <c r="K13" s="51">
        <f t="shared" si="2"/>
        <v>0</v>
      </c>
      <c r="L13" s="44">
        <f t="shared" si="4"/>
        <v>3642.6000000000004</v>
      </c>
      <c r="M13" s="51">
        <f t="shared" si="3"/>
        <v>160274400.00000003</v>
      </c>
    </row>
    <row r="14" spans="1:14" ht="22.5" customHeight="1" x14ac:dyDescent="0.25">
      <c r="A14" s="23">
        <v>11</v>
      </c>
      <c r="B14" s="21" t="s">
        <v>143</v>
      </c>
      <c r="C14" s="46">
        <v>49500</v>
      </c>
      <c r="D14" s="22">
        <f>'NXT T102022'!L14</f>
        <v>5470</v>
      </c>
      <c r="E14" s="116">
        <f t="shared" si="0"/>
        <v>270765000</v>
      </c>
      <c r="F14" s="22"/>
      <c r="G14" s="45"/>
      <c r="H14" s="45">
        <f t="shared" si="1"/>
        <v>0</v>
      </c>
      <c r="I14" s="111"/>
      <c r="J14" s="45"/>
      <c r="K14" s="51">
        <f t="shared" si="2"/>
        <v>0</v>
      </c>
      <c r="L14" s="44">
        <f t="shared" si="4"/>
        <v>5470</v>
      </c>
      <c r="M14" s="51">
        <f t="shared" si="3"/>
        <v>270765000</v>
      </c>
    </row>
    <row r="15" spans="1:14" ht="22.5" customHeight="1" x14ac:dyDescent="0.25">
      <c r="A15" s="23">
        <v>12</v>
      </c>
      <c r="B15" s="21" t="s">
        <v>151</v>
      </c>
      <c r="C15" s="46">
        <v>52500</v>
      </c>
      <c r="D15" s="22">
        <f>'NXT T102022'!L15</f>
        <v>3780</v>
      </c>
      <c r="E15" s="116">
        <f t="shared" si="0"/>
        <v>198450000</v>
      </c>
      <c r="F15" s="22"/>
      <c r="G15" s="45"/>
      <c r="H15" s="45">
        <f t="shared" si="1"/>
        <v>0</v>
      </c>
      <c r="I15" s="111"/>
      <c r="J15" s="45"/>
      <c r="K15" s="51">
        <f t="shared" si="2"/>
        <v>0</v>
      </c>
      <c r="L15" s="44">
        <f t="shared" si="4"/>
        <v>3780</v>
      </c>
      <c r="M15" s="51">
        <f t="shared" si="3"/>
        <v>198450000</v>
      </c>
    </row>
    <row r="16" spans="1:14" ht="22.5" customHeight="1" x14ac:dyDescent="0.25">
      <c r="A16" s="23">
        <v>13</v>
      </c>
      <c r="B16" s="21" t="s">
        <v>100</v>
      </c>
      <c r="C16" s="46">
        <v>50000</v>
      </c>
      <c r="D16" s="22">
        <f>'NXT T102022'!L16</f>
        <v>12072.290000000003</v>
      </c>
      <c r="E16" s="116">
        <f t="shared" si="0"/>
        <v>603614500.00000012</v>
      </c>
      <c r="F16" s="22"/>
      <c r="G16" s="45"/>
      <c r="H16" s="45">
        <f t="shared" si="1"/>
        <v>0</v>
      </c>
      <c r="I16" s="111"/>
      <c r="J16" s="45"/>
      <c r="K16" s="51">
        <f t="shared" si="2"/>
        <v>0</v>
      </c>
      <c r="L16" s="44">
        <f t="shared" si="4"/>
        <v>12072.290000000003</v>
      </c>
      <c r="M16" s="51">
        <f t="shared" si="3"/>
        <v>603614500.00000012</v>
      </c>
    </row>
    <row r="17" spans="1:14" ht="22.5" customHeight="1" x14ac:dyDescent="0.25">
      <c r="A17" s="23">
        <v>14</v>
      </c>
      <c r="B17" s="21" t="s">
        <v>105</v>
      </c>
      <c r="C17" s="46">
        <v>32000</v>
      </c>
      <c r="D17" s="22">
        <f>'NXT T102022'!L17</f>
        <v>16440</v>
      </c>
      <c r="E17" s="116">
        <f t="shared" si="0"/>
        <v>526080000</v>
      </c>
      <c r="F17" s="22"/>
      <c r="G17" s="45"/>
      <c r="H17" s="45">
        <f t="shared" si="1"/>
        <v>0</v>
      </c>
      <c r="I17" s="111"/>
      <c r="J17" s="45"/>
      <c r="K17" s="51">
        <f t="shared" si="2"/>
        <v>0</v>
      </c>
      <c r="L17" s="44">
        <f t="shared" si="4"/>
        <v>16440</v>
      </c>
      <c r="M17" s="51">
        <f t="shared" si="3"/>
        <v>526080000</v>
      </c>
    </row>
    <row r="18" spans="1:14" ht="22.5" customHeight="1" x14ac:dyDescent="0.25">
      <c r="A18" s="113">
        <v>15</v>
      </c>
      <c r="B18" s="114" t="s">
        <v>130</v>
      </c>
      <c r="C18" s="115">
        <v>41500</v>
      </c>
      <c r="D18" s="70">
        <f>'NXT T102022'!L18</f>
        <v>20660</v>
      </c>
      <c r="E18" s="116">
        <f t="shared" si="0"/>
        <v>857390000</v>
      </c>
      <c r="F18" s="70"/>
      <c r="G18" s="117"/>
      <c r="H18" s="45">
        <f t="shared" si="1"/>
        <v>0</v>
      </c>
      <c r="I18" s="111"/>
      <c r="J18" s="45"/>
      <c r="K18" s="51">
        <f t="shared" si="2"/>
        <v>0</v>
      </c>
      <c r="L18" s="44">
        <f t="shared" si="4"/>
        <v>20660</v>
      </c>
      <c r="M18" s="51">
        <f t="shared" si="3"/>
        <v>857390000</v>
      </c>
    </row>
    <row r="19" spans="1:14" ht="22.5" customHeight="1" x14ac:dyDescent="0.25">
      <c r="A19" s="113">
        <v>16</v>
      </c>
      <c r="B19" s="114" t="s">
        <v>144</v>
      </c>
      <c r="C19" s="115">
        <v>40000</v>
      </c>
      <c r="D19" s="70">
        <f>'NXT T102022'!L19</f>
        <v>2646.2510000000002</v>
      </c>
      <c r="E19" s="116">
        <f t="shared" si="0"/>
        <v>105850040.00000001</v>
      </c>
      <c r="F19" s="118"/>
      <c r="G19" s="117"/>
      <c r="H19" s="45">
        <f t="shared" si="1"/>
        <v>0</v>
      </c>
      <c r="I19" s="111"/>
      <c r="J19" s="45"/>
      <c r="K19" s="51">
        <f t="shared" si="2"/>
        <v>0</v>
      </c>
      <c r="L19" s="44">
        <f t="shared" si="4"/>
        <v>2646.2510000000002</v>
      </c>
      <c r="M19" s="51">
        <f t="shared" si="3"/>
        <v>105850040.00000001</v>
      </c>
    </row>
    <row r="20" spans="1:14" ht="22.5" customHeight="1" x14ac:dyDescent="0.25">
      <c r="A20" s="113">
        <v>17</v>
      </c>
      <c r="B20" s="114" t="s">
        <v>123</v>
      </c>
      <c r="C20" s="115">
        <v>49000</v>
      </c>
      <c r="D20" s="70">
        <f>'NXT T102022'!L20</f>
        <v>2582.4299999999985</v>
      </c>
      <c r="E20" s="116">
        <f t="shared" si="0"/>
        <v>126539069.99999993</v>
      </c>
      <c r="F20" s="70"/>
      <c r="G20" s="117"/>
      <c r="H20" s="45">
        <f t="shared" si="1"/>
        <v>0</v>
      </c>
      <c r="I20" s="111"/>
      <c r="J20" s="45"/>
      <c r="K20" s="51">
        <f t="shared" si="2"/>
        <v>0</v>
      </c>
      <c r="L20" s="44">
        <f t="shared" si="4"/>
        <v>2582.4299999999985</v>
      </c>
      <c r="M20" s="51">
        <f t="shared" si="3"/>
        <v>126539069.99999993</v>
      </c>
    </row>
    <row r="21" spans="1:14" ht="22.5" customHeight="1" x14ac:dyDescent="0.25">
      <c r="A21" s="113">
        <v>18</v>
      </c>
      <c r="B21" s="114" t="s">
        <v>132</v>
      </c>
      <c r="C21" s="115">
        <v>160000</v>
      </c>
      <c r="D21" s="70">
        <f>'NXT T102022'!L21</f>
        <v>343.64</v>
      </c>
      <c r="E21" s="116">
        <f t="shared" si="0"/>
        <v>54982400</v>
      </c>
      <c r="F21" s="70"/>
      <c r="G21" s="117"/>
      <c r="H21" s="45">
        <f t="shared" si="1"/>
        <v>0</v>
      </c>
      <c r="I21" s="111"/>
      <c r="J21" s="45"/>
      <c r="K21" s="51">
        <f t="shared" si="2"/>
        <v>0</v>
      </c>
      <c r="L21" s="44">
        <f t="shared" si="4"/>
        <v>343.64</v>
      </c>
      <c r="M21" s="51">
        <f t="shared" si="3"/>
        <v>54982400</v>
      </c>
    </row>
    <row r="22" spans="1:14" ht="22.5" customHeight="1" x14ac:dyDescent="0.25">
      <c r="A22" s="113">
        <v>19</v>
      </c>
      <c r="B22" s="114" t="s">
        <v>144</v>
      </c>
      <c r="C22" s="115">
        <v>38000</v>
      </c>
      <c r="D22" s="70">
        <f>'NXT T102022'!L22</f>
        <v>28307.54</v>
      </c>
      <c r="E22" s="116">
        <f t="shared" si="0"/>
        <v>1075686520</v>
      </c>
      <c r="F22" s="70"/>
      <c r="G22" s="117"/>
      <c r="H22" s="45">
        <f t="shared" si="1"/>
        <v>0</v>
      </c>
      <c r="I22" s="111"/>
      <c r="J22" s="45"/>
      <c r="K22" s="51">
        <f t="shared" si="2"/>
        <v>0</v>
      </c>
      <c r="L22" s="44">
        <f t="shared" si="4"/>
        <v>28307.54</v>
      </c>
      <c r="M22" s="51">
        <f t="shared" si="3"/>
        <v>1075686520</v>
      </c>
    </row>
    <row r="23" spans="1:14" ht="22.5" customHeight="1" x14ac:dyDescent="0.25">
      <c r="A23" s="113">
        <v>20</v>
      </c>
      <c r="B23" s="114" t="s">
        <v>145</v>
      </c>
      <c r="C23" s="115">
        <v>40904</v>
      </c>
      <c r="D23" s="70">
        <f>'NXT T102022'!L23</f>
        <v>11046.73</v>
      </c>
      <c r="E23" s="116">
        <f t="shared" si="0"/>
        <v>451855443.91999996</v>
      </c>
      <c r="F23" s="70"/>
      <c r="G23" s="117"/>
      <c r="H23" s="45">
        <f t="shared" si="1"/>
        <v>0</v>
      </c>
      <c r="I23" s="111"/>
      <c r="J23" s="45"/>
      <c r="K23" s="51">
        <f t="shared" si="2"/>
        <v>0</v>
      </c>
      <c r="L23" s="44">
        <f t="shared" si="4"/>
        <v>11046.73</v>
      </c>
      <c r="M23" s="51">
        <f t="shared" si="3"/>
        <v>451855443.91999996</v>
      </c>
    </row>
    <row r="24" spans="1:14" s="17" customFormat="1" ht="22.5" customHeight="1" x14ac:dyDescent="0.25">
      <c r="A24" s="122">
        <v>21</v>
      </c>
      <c r="B24" s="20" t="s">
        <v>146</v>
      </c>
      <c r="C24" s="85">
        <v>40904</v>
      </c>
      <c r="D24" s="86">
        <f>'NXT T102022'!L24</f>
        <v>10340.15</v>
      </c>
      <c r="E24" s="123">
        <f t="shared" si="0"/>
        <v>422953495.59999996</v>
      </c>
      <c r="F24" s="86"/>
      <c r="G24" s="66"/>
      <c r="H24" s="66">
        <f t="shared" si="1"/>
        <v>0</v>
      </c>
      <c r="I24" s="124"/>
      <c r="J24" s="66"/>
      <c r="K24" s="123">
        <f t="shared" si="2"/>
        <v>0</v>
      </c>
      <c r="L24" s="68">
        <f t="shared" si="4"/>
        <v>10340.15</v>
      </c>
      <c r="M24" s="123">
        <f t="shared" si="3"/>
        <v>422953495.59999996</v>
      </c>
    </row>
    <row r="25" spans="1:14" s="121" customFormat="1" ht="22.5" customHeight="1" x14ac:dyDescent="0.25">
      <c r="A25" s="113">
        <v>22</v>
      </c>
      <c r="B25" s="114" t="s">
        <v>144</v>
      </c>
      <c r="C25" s="115">
        <v>49500</v>
      </c>
      <c r="D25" s="70">
        <f>'NXT T102022'!L25</f>
        <v>25669.71</v>
      </c>
      <c r="E25" s="116">
        <f t="shared" si="0"/>
        <v>1270650645</v>
      </c>
      <c r="F25" s="70"/>
      <c r="G25" s="117"/>
      <c r="H25" s="45">
        <f t="shared" si="1"/>
        <v>0</v>
      </c>
      <c r="I25" s="119"/>
      <c r="J25" s="45"/>
      <c r="K25" s="51">
        <f t="shared" si="2"/>
        <v>0</v>
      </c>
      <c r="L25" s="120">
        <f t="shared" si="4"/>
        <v>25669.71</v>
      </c>
      <c r="M25" s="116">
        <f t="shared" si="3"/>
        <v>1270650645</v>
      </c>
      <c r="N25" s="2"/>
    </row>
    <row r="26" spans="1:14" s="121" customFormat="1" ht="22.5" customHeight="1" x14ac:dyDescent="0.25">
      <c r="A26" s="113">
        <v>23</v>
      </c>
      <c r="B26" s="114" t="s">
        <v>130</v>
      </c>
      <c r="C26" s="115">
        <v>41000</v>
      </c>
      <c r="D26" s="70">
        <f>'NXT T102022'!L26</f>
        <v>20994.6</v>
      </c>
      <c r="E26" s="116">
        <f t="shared" si="0"/>
        <v>860778599.99999988</v>
      </c>
      <c r="F26" s="70"/>
      <c r="G26" s="117"/>
      <c r="H26" s="45">
        <f t="shared" si="1"/>
        <v>0</v>
      </c>
      <c r="I26" s="119"/>
      <c r="J26" s="117"/>
      <c r="K26" s="51">
        <f t="shared" si="2"/>
        <v>0</v>
      </c>
      <c r="L26" s="120">
        <f t="shared" si="4"/>
        <v>20994.6</v>
      </c>
      <c r="M26" s="116">
        <f t="shared" si="3"/>
        <v>860778599.99999988</v>
      </c>
    </row>
    <row r="27" spans="1:14" s="121" customFormat="1" ht="22.5" customHeight="1" x14ac:dyDescent="0.25">
      <c r="A27" s="113">
        <v>24</v>
      </c>
      <c r="B27" s="114" t="s">
        <v>123</v>
      </c>
      <c r="C27" s="115">
        <v>47500</v>
      </c>
      <c r="D27" s="70">
        <f>'NXT T102022'!L27</f>
        <v>46512.1</v>
      </c>
      <c r="E27" s="116">
        <f t="shared" si="0"/>
        <v>2209324750</v>
      </c>
      <c r="F27" s="70"/>
      <c r="G27" s="117"/>
      <c r="H27" s="45">
        <f t="shared" si="1"/>
        <v>0</v>
      </c>
      <c r="I27" s="119"/>
      <c r="J27" s="117"/>
      <c r="K27" s="51">
        <f t="shared" si="2"/>
        <v>0</v>
      </c>
      <c r="L27" s="120">
        <f t="shared" si="4"/>
        <v>46512.1</v>
      </c>
      <c r="M27" s="116">
        <f t="shared" si="3"/>
        <v>2209324750</v>
      </c>
      <c r="N27" s="2"/>
    </row>
    <row r="28" spans="1:14" s="121" customFormat="1" ht="22.5" customHeight="1" x14ac:dyDescent="0.25">
      <c r="A28" s="113">
        <v>25</v>
      </c>
      <c r="B28" s="114" t="s">
        <v>158</v>
      </c>
      <c r="C28" s="115">
        <v>163000</v>
      </c>
      <c r="D28" s="70">
        <f>'NXT T102022'!L28</f>
        <v>1166.28</v>
      </c>
      <c r="E28" s="116">
        <f t="shared" si="0"/>
        <v>190103640</v>
      </c>
      <c r="F28" s="70"/>
      <c r="G28" s="117"/>
      <c r="H28" s="45">
        <f t="shared" si="1"/>
        <v>0</v>
      </c>
      <c r="I28" s="119"/>
      <c r="J28" s="117"/>
      <c r="K28" s="51">
        <f t="shared" si="2"/>
        <v>0</v>
      </c>
      <c r="L28" s="120">
        <f t="shared" si="4"/>
        <v>1166.28</v>
      </c>
      <c r="M28" s="116">
        <f t="shared" si="3"/>
        <v>190103640</v>
      </c>
      <c r="N28" s="2"/>
    </row>
    <row r="29" spans="1:14" s="121" customFormat="1" ht="22.5" customHeight="1" x14ac:dyDescent="0.25">
      <c r="A29" s="113">
        <v>26</v>
      </c>
      <c r="B29" s="114" t="s">
        <v>130</v>
      </c>
      <c r="C29" s="115">
        <v>42000</v>
      </c>
      <c r="D29" s="70">
        <f>'NXT T102022'!L29</f>
        <v>20885.12</v>
      </c>
      <c r="E29" s="116">
        <f t="shared" si="0"/>
        <v>877175040</v>
      </c>
      <c r="F29" s="70"/>
      <c r="G29" s="117"/>
      <c r="H29" s="45">
        <f t="shared" si="1"/>
        <v>0</v>
      </c>
      <c r="I29" s="119"/>
      <c r="J29" s="117"/>
      <c r="K29" s="51">
        <f t="shared" si="2"/>
        <v>0</v>
      </c>
      <c r="L29" s="120">
        <f t="shared" si="4"/>
        <v>20885.12</v>
      </c>
      <c r="M29" s="116">
        <f t="shared" si="3"/>
        <v>877175040</v>
      </c>
    </row>
    <row r="30" spans="1:14" s="121" customFormat="1" ht="22.5" customHeight="1" x14ac:dyDescent="0.25">
      <c r="A30" s="113">
        <v>27</v>
      </c>
      <c r="B30" s="114" t="s">
        <v>130</v>
      </c>
      <c r="C30" s="115">
        <v>41000</v>
      </c>
      <c r="D30" s="70">
        <f>'NXT T102022'!L30</f>
        <v>20988.6</v>
      </c>
      <c r="E30" s="116">
        <f>C30*D30</f>
        <v>860532599.99999988</v>
      </c>
      <c r="F30" s="70"/>
      <c r="G30" s="117"/>
      <c r="H30" s="45">
        <f t="shared" si="1"/>
        <v>0</v>
      </c>
      <c r="I30" s="119"/>
      <c r="J30" s="117"/>
      <c r="K30" s="51">
        <f t="shared" si="2"/>
        <v>0</v>
      </c>
      <c r="L30" s="120">
        <f t="shared" si="4"/>
        <v>20988.6</v>
      </c>
      <c r="M30" s="116">
        <f t="shared" si="3"/>
        <v>860532599.99999988</v>
      </c>
    </row>
    <row r="31" spans="1:14" s="121" customFormat="1" ht="22.5" customHeight="1" x14ac:dyDescent="0.25">
      <c r="A31" s="113">
        <v>28</v>
      </c>
      <c r="B31" s="114" t="s">
        <v>130</v>
      </c>
      <c r="C31" s="115">
        <v>38000</v>
      </c>
      <c r="D31" s="70">
        <f>'NXT T102022'!L32</f>
        <v>20982.33</v>
      </c>
      <c r="E31" s="116">
        <f t="shared" ref="E31:E32" si="5">C31*D31</f>
        <v>797328540.00000012</v>
      </c>
      <c r="F31" s="70"/>
      <c r="G31" s="117"/>
      <c r="H31" s="45">
        <f t="shared" si="1"/>
        <v>0</v>
      </c>
      <c r="I31" s="119"/>
      <c r="J31" s="117"/>
      <c r="K31" s="116">
        <f t="shared" si="2"/>
        <v>0</v>
      </c>
      <c r="L31" s="120">
        <f t="shared" si="4"/>
        <v>20982.33</v>
      </c>
      <c r="M31" s="116">
        <f t="shared" si="3"/>
        <v>797328540.00000012</v>
      </c>
    </row>
    <row r="32" spans="1:14" s="121" customFormat="1" ht="22.5" customHeight="1" x14ac:dyDescent="0.25">
      <c r="A32" s="113">
        <v>29</v>
      </c>
      <c r="B32" s="114" t="s">
        <v>144</v>
      </c>
      <c r="C32" s="115">
        <v>49500</v>
      </c>
      <c r="D32" s="70">
        <f>'NXT T102022'!L33</f>
        <v>2697</v>
      </c>
      <c r="E32" s="116">
        <f t="shared" si="5"/>
        <v>133501500</v>
      </c>
      <c r="F32" s="70"/>
      <c r="G32" s="117"/>
      <c r="H32" s="45">
        <f t="shared" si="1"/>
        <v>0</v>
      </c>
      <c r="I32" s="119"/>
      <c r="J32" s="117"/>
      <c r="K32" s="116">
        <f t="shared" si="2"/>
        <v>0</v>
      </c>
      <c r="L32" s="120">
        <f t="shared" si="4"/>
        <v>2697</v>
      </c>
      <c r="M32" s="116">
        <f t="shared" si="3"/>
        <v>133501500</v>
      </c>
    </row>
    <row r="33" spans="1:14" s="121" customFormat="1" ht="22.5" customHeight="1" x14ac:dyDescent="0.25">
      <c r="A33" s="113">
        <v>30</v>
      </c>
      <c r="B33" s="114" t="s">
        <v>130</v>
      </c>
      <c r="C33" s="115"/>
      <c r="D33" s="70"/>
      <c r="E33" s="116"/>
      <c r="F33" s="70">
        <v>21076.5</v>
      </c>
      <c r="G33" s="117">
        <v>38000</v>
      </c>
      <c r="H33" s="45">
        <f t="shared" si="1"/>
        <v>800907000</v>
      </c>
      <c r="I33" s="119"/>
      <c r="J33" s="117"/>
      <c r="K33" s="116">
        <f t="shared" si="2"/>
        <v>0</v>
      </c>
      <c r="L33" s="120">
        <f t="shared" si="4"/>
        <v>21076.5</v>
      </c>
      <c r="M33" s="116">
        <f t="shared" si="3"/>
        <v>800907000</v>
      </c>
      <c r="N33" s="121" t="s">
        <v>183</v>
      </c>
    </row>
    <row r="34" spans="1:14" s="121" customFormat="1" ht="22.5" customHeight="1" x14ac:dyDescent="0.25">
      <c r="A34" s="113">
        <v>31</v>
      </c>
      <c r="B34" s="114" t="s">
        <v>130</v>
      </c>
      <c r="C34" s="115"/>
      <c r="D34" s="70"/>
      <c r="E34" s="116"/>
      <c r="F34" s="70">
        <v>20791</v>
      </c>
      <c r="G34" s="117">
        <v>38000</v>
      </c>
      <c r="H34" s="45">
        <f t="shared" si="1"/>
        <v>790058000</v>
      </c>
      <c r="I34" s="119"/>
      <c r="J34" s="117"/>
      <c r="K34" s="116">
        <f t="shared" si="2"/>
        <v>0</v>
      </c>
      <c r="L34" s="120">
        <f t="shared" si="4"/>
        <v>20791</v>
      </c>
      <c r="M34" s="116">
        <f t="shared" si="3"/>
        <v>790058000</v>
      </c>
      <c r="N34" s="121" t="s">
        <v>184</v>
      </c>
    </row>
    <row r="35" spans="1:14" s="121" customFormat="1" ht="22.5" customHeight="1" x14ac:dyDescent="0.25">
      <c r="A35" s="113">
        <v>32</v>
      </c>
      <c r="B35" s="21" t="s">
        <v>142</v>
      </c>
      <c r="C35" s="46"/>
      <c r="D35" s="70"/>
      <c r="E35" s="116"/>
      <c r="F35" s="70">
        <v>9842.19</v>
      </c>
      <c r="G35" s="117">
        <v>42000</v>
      </c>
      <c r="H35" s="45">
        <f t="shared" si="1"/>
        <v>413371980</v>
      </c>
      <c r="I35" s="119"/>
      <c r="J35" s="117"/>
      <c r="K35" s="116">
        <f t="shared" ref="K35" si="6">I35*J35</f>
        <v>0</v>
      </c>
      <c r="L35" s="120">
        <f t="shared" ref="L35" si="7">D35+F35-I35</f>
        <v>9842.19</v>
      </c>
      <c r="M35" s="116">
        <f t="shared" ref="M35" si="8">E35+H35-K35</f>
        <v>413371980</v>
      </c>
      <c r="N35" s="121" t="s">
        <v>185</v>
      </c>
    </row>
    <row r="36" spans="1:14" s="121" customFormat="1" ht="22.5" customHeight="1" x14ac:dyDescent="0.25">
      <c r="A36" s="113">
        <v>33</v>
      </c>
      <c r="B36" s="21" t="s">
        <v>143</v>
      </c>
      <c r="C36" s="115"/>
      <c r="D36" s="70"/>
      <c r="E36" s="116"/>
      <c r="F36" s="70">
        <f>1000+1000+700</f>
        <v>2700</v>
      </c>
      <c r="G36" s="117">
        <v>49500</v>
      </c>
      <c r="H36" s="45">
        <f t="shared" si="1"/>
        <v>133650000</v>
      </c>
      <c r="I36" s="119"/>
      <c r="J36" s="117"/>
      <c r="K36" s="116">
        <f t="shared" ref="K36" si="9">I36*J36</f>
        <v>0</v>
      </c>
      <c r="L36" s="120">
        <f t="shared" ref="L36" si="10">D36+F36-I36</f>
        <v>2700</v>
      </c>
      <c r="M36" s="116">
        <f t="shared" ref="M36" si="11">E36+H36-K36</f>
        <v>133650000</v>
      </c>
      <c r="N36" s="121" t="s">
        <v>190</v>
      </c>
    </row>
    <row r="37" spans="1:14" s="121" customFormat="1" ht="22.5" customHeight="1" x14ac:dyDescent="0.25">
      <c r="A37" s="113">
        <v>34</v>
      </c>
      <c r="B37" s="114" t="s">
        <v>123</v>
      </c>
      <c r="C37" s="115"/>
      <c r="D37" s="70"/>
      <c r="E37" s="116"/>
      <c r="F37" s="70">
        <f>3025.77+4255.02+4366.54</f>
        <v>11647.330000000002</v>
      </c>
      <c r="G37" s="117">
        <v>50000</v>
      </c>
      <c r="H37" s="45">
        <f t="shared" si="1"/>
        <v>582366500.00000012</v>
      </c>
      <c r="I37" s="119"/>
      <c r="J37" s="117"/>
      <c r="K37" s="116">
        <f t="shared" ref="K37" si="12">I37*J37</f>
        <v>0</v>
      </c>
      <c r="L37" s="120">
        <f t="shared" ref="L37" si="13">D37+F37-I37</f>
        <v>11647.330000000002</v>
      </c>
      <c r="M37" s="116">
        <f t="shared" ref="M37" si="14">E37+H37-K37</f>
        <v>582366500.00000012</v>
      </c>
      <c r="N37" s="121" t="s">
        <v>190</v>
      </c>
    </row>
    <row r="38" spans="1:14" s="121" customFormat="1" ht="22.5" customHeight="1" x14ac:dyDescent="0.25">
      <c r="A38" s="113">
        <v>35</v>
      </c>
      <c r="B38" s="114" t="s">
        <v>146</v>
      </c>
      <c r="C38" s="115"/>
      <c r="D38" s="70"/>
      <c r="E38" s="116"/>
      <c r="F38" s="70">
        <f>1088.72+2161.64+2164.38</f>
        <v>5414.74</v>
      </c>
      <c r="G38" s="117">
        <v>52300</v>
      </c>
      <c r="H38" s="45">
        <f t="shared" si="1"/>
        <v>283190902</v>
      </c>
      <c r="I38" s="119"/>
      <c r="J38" s="117"/>
      <c r="K38" s="116">
        <f t="shared" ref="K38" si="15">I38*J38</f>
        <v>0</v>
      </c>
      <c r="L38" s="120">
        <f t="shared" ref="L38" si="16">D38+F38-I38</f>
        <v>5414.74</v>
      </c>
      <c r="M38" s="116">
        <f t="shared" ref="M38" si="17">E38+H38-K38</f>
        <v>283190902</v>
      </c>
      <c r="N38" s="121" t="s">
        <v>190</v>
      </c>
    </row>
    <row r="39" spans="1:14" s="121" customFormat="1" ht="22.5" customHeight="1" x14ac:dyDescent="0.25">
      <c r="A39" s="113">
        <v>36</v>
      </c>
      <c r="B39" s="114" t="s">
        <v>171</v>
      </c>
      <c r="C39" s="115"/>
      <c r="D39" s="70"/>
      <c r="E39" s="116"/>
      <c r="F39" s="70">
        <f>454.61+738.8+899.5</f>
        <v>2092.91</v>
      </c>
      <c r="G39" s="117">
        <v>168000</v>
      </c>
      <c r="H39" s="45">
        <f t="shared" si="1"/>
        <v>351608880</v>
      </c>
      <c r="I39" s="119"/>
      <c r="J39" s="117"/>
      <c r="K39" s="116">
        <f t="shared" ref="K39:K42" si="18">I39*J39</f>
        <v>0</v>
      </c>
      <c r="L39" s="120">
        <f t="shared" ref="L39:L44" si="19">D39+F39-I39</f>
        <v>2092.91</v>
      </c>
      <c r="M39" s="116">
        <f t="shared" ref="M39:M44" si="20">E39+H39-K39</f>
        <v>351608880</v>
      </c>
      <c r="N39" s="121" t="s">
        <v>190</v>
      </c>
    </row>
    <row r="40" spans="1:14" s="121" customFormat="1" ht="22.5" customHeight="1" x14ac:dyDescent="0.25">
      <c r="A40" s="113">
        <v>37</v>
      </c>
      <c r="B40" s="114" t="s">
        <v>145</v>
      </c>
      <c r="C40" s="115"/>
      <c r="D40" s="70"/>
      <c r="E40" s="116"/>
      <c r="F40" s="22">
        <f>3104.39+5747.82</f>
        <v>8852.2099999999991</v>
      </c>
      <c r="G40" s="117">
        <v>48300</v>
      </c>
      <c r="H40" s="45">
        <f t="shared" si="1"/>
        <v>427561742.99999994</v>
      </c>
      <c r="I40" s="119"/>
      <c r="J40" s="117"/>
      <c r="K40" s="116">
        <f t="shared" si="18"/>
        <v>0</v>
      </c>
      <c r="L40" s="120">
        <f t="shared" si="19"/>
        <v>8852.2099999999991</v>
      </c>
      <c r="M40" s="116">
        <f t="shared" si="20"/>
        <v>427561742.99999994</v>
      </c>
      <c r="N40" s="121" t="s">
        <v>188</v>
      </c>
    </row>
    <row r="41" spans="1:14" s="121" customFormat="1" ht="22.5" customHeight="1" x14ac:dyDescent="0.25">
      <c r="A41" s="113">
        <v>38</v>
      </c>
      <c r="B41" s="21" t="s">
        <v>142</v>
      </c>
      <c r="C41" s="115"/>
      <c r="D41" s="70"/>
      <c r="E41" s="116"/>
      <c r="F41" s="22">
        <f>32075+2561.2</f>
        <v>34636.199999999997</v>
      </c>
      <c r="G41" s="117">
        <v>44000</v>
      </c>
      <c r="H41" s="45">
        <f t="shared" si="1"/>
        <v>1523992799.9999998</v>
      </c>
      <c r="I41" s="119"/>
      <c r="J41" s="117"/>
      <c r="K41" s="116">
        <f t="shared" si="18"/>
        <v>0</v>
      </c>
      <c r="L41" s="120">
        <f t="shared" si="19"/>
        <v>34636.199999999997</v>
      </c>
      <c r="M41" s="116">
        <f t="shared" si="20"/>
        <v>1523992799.9999998</v>
      </c>
      <c r="N41" s="121" t="s">
        <v>188</v>
      </c>
    </row>
    <row r="42" spans="1:14" s="121" customFormat="1" ht="22.5" customHeight="1" x14ac:dyDescent="0.25">
      <c r="A42" s="113">
        <v>39</v>
      </c>
      <c r="B42" s="21" t="s">
        <v>187</v>
      </c>
      <c r="C42" s="115"/>
      <c r="D42" s="70"/>
      <c r="E42" s="116"/>
      <c r="F42" s="22">
        <f>1500+750</f>
        <v>2250</v>
      </c>
      <c r="G42" s="117">
        <v>29470</v>
      </c>
      <c r="H42" s="45">
        <f t="shared" si="1"/>
        <v>66307500</v>
      </c>
      <c r="I42" s="119"/>
      <c r="J42" s="117"/>
      <c r="K42" s="116">
        <f t="shared" si="18"/>
        <v>0</v>
      </c>
      <c r="L42" s="120">
        <f t="shared" si="19"/>
        <v>2250</v>
      </c>
      <c r="M42" s="116">
        <f t="shared" si="20"/>
        <v>66307500</v>
      </c>
      <c r="N42" s="17" t="s">
        <v>188</v>
      </c>
    </row>
    <row r="43" spans="1:14" s="121" customFormat="1" ht="22.5" customHeight="1" x14ac:dyDescent="0.25">
      <c r="A43" s="113">
        <v>40</v>
      </c>
      <c r="B43" s="21" t="s">
        <v>100</v>
      </c>
      <c r="C43" s="115"/>
      <c r="D43" s="70"/>
      <c r="E43" s="116"/>
      <c r="F43" s="22">
        <v>1052.6099999999999</v>
      </c>
      <c r="G43" s="117">
        <v>48000</v>
      </c>
      <c r="H43" s="45">
        <f t="shared" si="1"/>
        <v>50525279.999999993</v>
      </c>
      <c r="I43" s="119"/>
      <c r="J43" s="117"/>
      <c r="K43" s="116"/>
      <c r="L43" s="120">
        <f t="shared" si="19"/>
        <v>1052.6099999999999</v>
      </c>
      <c r="M43" s="116">
        <f t="shared" si="20"/>
        <v>50525279.999999993</v>
      </c>
      <c r="N43" s="121" t="s">
        <v>189</v>
      </c>
    </row>
    <row r="44" spans="1:14" s="121" customFormat="1" ht="22.5" customHeight="1" x14ac:dyDescent="0.25">
      <c r="A44" s="113">
        <v>41</v>
      </c>
      <c r="B44" s="114" t="s">
        <v>191</v>
      </c>
      <c r="C44" s="115"/>
      <c r="D44" s="70"/>
      <c r="E44" s="116"/>
      <c r="F44" s="70">
        <v>100</v>
      </c>
      <c r="G44" s="117">
        <v>52400</v>
      </c>
      <c r="H44" s="45">
        <f t="shared" si="1"/>
        <v>5240000</v>
      </c>
      <c r="I44" s="119"/>
      <c r="J44" s="117"/>
      <c r="K44" s="116"/>
      <c r="L44" s="120">
        <f t="shared" si="19"/>
        <v>100</v>
      </c>
      <c r="M44" s="116">
        <f t="shared" si="20"/>
        <v>5240000</v>
      </c>
      <c r="N44" s="121" t="s">
        <v>189</v>
      </c>
    </row>
    <row r="45" spans="1:14" s="1" customFormat="1" ht="22.5" customHeight="1" x14ac:dyDescent="0.2">
      <c r="A45" s="87"/>
      <c r="B45" s="87" t="s">
        <v>25</v>
      </c>
      <c r="C45" s="87"/>
      <c r="D45" s="88">
        <f>SUM(D4:D31)</f>
        <v>288259.62099999998</v>
      </c>
      <c r="E45" s="109">
        <f t="shared" ref="E45:M45" si="21">SUM(E4:E31)</f>
        <v>12572785804.52</v>
      </c>
      <c r="F45" s="88">
        <f t="shared" si="21"/>
        <v>1882.26</v>
      </c>
      <c r="G45" s="88">
        <f t="shared" si="21"/>
        <v>100000</v>
      </c>
      <c r="H45" s="109">
        <f t="shared" si="21"/>
        <v>93948480</v>
      </c>
      <c r="I45" s="112">
        <f t="shared" si="21"/>
        <v>0</v>
      </c>
      <c r="J45" s="88">
        <f t="shared" si="21"/>
        <v>0</v>
      </c>
      <c r="K45" s="109">
        <f t="shared" si="21"/>
        <v>0</v>
      </c>
      <c r="L45" s="88">
        <f t="shared" si="21"/>
        <v>290141.88099999999</v>
      </c>
      <c r="M45" s="109">
        <f t="shared" si="21"/>
        <v>12666734284.52</v>
      </c>
    </row>
  </sheetData>
  <mergeCells count="7">
    <mergeCell ref="A1:M1"/>
    <mergeCell ref="A2:A3"/>
    <mergeCell ref="B2:B3"/>
    <mergeCell ref="D2:E2"/>
    <mergeCell ref="F2:H2"/>
    <mergeCell ref="I2:K2"/>
    <mergeCell ref="L2:M2"/>
  </mergeCells>
  <conditionalFormatting sqref="D11:D12 E4:E44 K4:M44">
    <cfRule type="expression" dxfId="1" priority="1">
      <formula>AND(($P4-TODAY())&lt;90,NOT(ISBLANK($P4)))</formula>
    </cfRule>
  </conditionalFormatting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10" zoomScaleNormal="100" workbookViewId="0">
      <selection activeCell="M54" sqref="M54"/>
    </sheetView>
  </sheetViews>
  <sheetFormatPr defaultRowHeight="15" x14ac:dyDescent="0.25"/>
  <cols>
    <col min="1" max="1" width="5.42578125" style="2" customWidth="1"/>
    <col min="2" max="2" width="38.28515625" style="2" customWidth="1"/>
    <col min="3" max="3" width="11.28515625" style="2" customWidth="1"/>
    <col min="4" max="4" width="13" style="2" customWidth="1"/>
    <col min="5" max="5" width="17" style="2" customWidth="1"/>
    <col min="6" max="6" width="13" style="2" customWidth="1"/>
    <col min="7" max="7" width="11.5703125" style="2" customWidth="1"/>
    <col min="8" max="8" width="16.28515625" style="2" customWidth="1"/>
    <col min="9" max="9" width="11.42578125" style="15" customWidth="1"/>
    <col min="10" max="10" width="15.140625" style="2" customWidth="1"/>
    <col min="11" max="11" width="16.28515625" style="2" customWidth="1"/>
    <col min="12" max="12" width="11.5703125" style="2" customWidth="1"/>
    <col min="13" max="13" width="16.85546875" style="2" customWidth="1"/>
    <col min="14" max="14" width="43.140625" style="2" customWidth="1"/>
    <col min="15" max="16384" width="9.140625" style="2"/>
  </cols>
  <sheetData>
    <row r="1" spans="1:14" ht="22.5" customHeight="1" x14ac:dyDescent="0.3">
      <c r="A1" s="137" t="s">
        <v>192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4" s="1" customFormat="1" ht="22.5" customHeight="1" x14ac:dyDescent="0.2">
      <c r="A2" s="133" t="s">
        <v>138</v>
      </c>
      <c r="B2" s="133" t="s">
        <v>18</v>
      </c>
      <c r="C2" s="92" t="s">
        <v>34</v>
      </c>
      <c r="D2" s="131" t="s">
        <v>33</v>
      </c>
      <c r="E2" s="132"/>
      <c r="F2" s="131" t="s">
        <v>21</v>
      </c>
      <c r="G2" s="135"/>
      <c r="H2" s="132"/>
      <c r="I2" s="131" t="s">
        <v>22</v>
      </c>
      <c r="J2" s="135"/>
      <c r="K2" s="132"/>
      <c r="L2" s="131" t="s">
        <v>23</v>
      </c>
      <c r="M2" s="132"/>
    </row>
    <row r="3" spans="1:14" s="108" customFormat="1" ht="22.5" customHeight="1" x14ac:dyDescent="0.2">
      <c r="A3" s="134"/>
      <c r="B3" s="134"/>
      <c r="C3" s="105" t="s">
        <v>57</v>
      </c>
      <c r="D3" s="96"/>
      <c r="E3" s="96"/>
      <c r="F3" s="96" t="s">
        <v>19</v>
      </c>
      <c r="G3" s="96" t="s">
        <v>34</v>
      </c>
      <c r="H3" s="96" t="s">
        <v>20</v>
      </c>
      <c r="I3" s="110" t="s">
        <v>19</v>
      </c>
      <c r="J3" s="96" t="s">
        <v>34</v>
      </c>
      <c r="K3" s="96" t="s">
        <v>20</v>
      </c>
      <c r="L3" s="96" t="s">
        <v>19</v>
      </c>
      <c r="M3" s="96" t="s">
        <v>20</v>
      </c>
    </row>
    <row r="4" spans="1:14" ht="22.5" customHeight="1" x14ac:dyDescent="0.25">
      <c r="A4" s="23">
        <v>1</v>
      </c>
      <c r="B4" s="21" t="s">
        <v>139</v>
      </c>
      <c r="C4" s="46">
        <v>52000</v>
      </c>
      <c r="D4" s="22">
        <f>'NXT T112022'!L4</f>
        <v>4500</v>
      </c>
      <c r="E4" s="116">
        <f>'NXT T112022'!M4</f>
        <v>234000000</v>
      </c>
      <c r="F4" s="22"/>
      <c r="G4" s="45"/>
      <c r="H4" s="45"/>
      <c r="I4" s="111">
        <f>450+450</f>
        <v>900</v>
      </c>
      <c r="J4" s="45">
        <v>52000</v>
      </c>
      <c r="K4" s="51">
        <f>I4*J4</f>
        <v>46800000</v>
      </c>
      <c r="L4" s="44">
        <f>D4+F4-I4</f>
        <v>3600</v>
      </c>
      <c r="M4" s="51">
        <f>E4+H4-K4</f>
        <v>187200000</v>
      </c>
      <c r="N4" s="29" t="s">
        <v>210</v>
      </c>
    </row>
    <row r="5" spans="1:14" ht="22.5" customHeight="1" x14ac:dyDescent="0.25">
      <c r="A5" s="23">
        <v>2</v>
      </c>
      <c r="B5" s="21" t="s">
        <v>140</v>
      </c>
      <c r="C5" s="46">
        <v>71000</v>
      </c>
      <c r="D5" s="22">
        <f>'NXT T112022'!L5</f>
        <v>0</v>
      </c>
      <c r="E5" s="116">
        <f>'NXT T112022'!M5</f>
        <v>0</v>
      </c>
      <c r="F5" s="22"/>
      <c r="G5" s="45"/>
      <c r="H5" s="45"/>
      <c r="I5" s="111">
        <v>1000</v>
      </c>
      <c r="J5" s="45">
        <v>25000</v>
      </c>
      <c r="K5" s="51">
        <f t="shared" ref="K5:K52" si="0">I5*J5</f>
        <v>25000000</v>
      </c>
      <c r="L5" s="44">
        <f t="shared" ref="L5:L52" si="1">D5+F5-I5</f>
        <v>-1000</v>
      </c>
      <c r="M5" s="51">
        <f t="shared" ref="M5:M52" si="2">E5+H5-K5</f>
        <v>-25000000</v>
      </c>
      <c r="N5" s="29" t="s">
        <v>196</v>
      </c>
    </row>
    <row r="6" spans="1:14" ht="22.5" customHeight="1" x14ac:dyDescent="0.25">
      <c r="A6" s="23">
        <v>3</v>
      </c>
      <c r="B6" s="21" t="s">
        <v>151</v>
      </c>
      <c r="C6" s="46">
        <v>48000</v>
      </c>
      <c r="D6" s="22">
        <f>'NXT T112022'!L6</f>
        <v>3012.7199999999993</v>
      </c>
      <c r="E6" s="116">
        <f>'NXT T112022'!M6</f>
        <v>144610559.99999997</v>
      </c>
      <c r="F6" s="22"/>
      <c r="G6" s="45"/>
      <c r="H6" s="45"/>
      <c r="I6" s="111"/>
      <c r="J6" s="45"/>
      <c r="K6" s="51">
        <f t="shared" si="0"/>
        <v>0</v>
      </c>
      <c r="L6" s="44">
        <f t="shared" si="1"/>
        <v>3012.7199999999993</v>
      </c>
      <c r="M6" s="51">
        <f t="shared" si="2"/>
        <v>144610559.99999997</v>
      </c>
      <c r="N6" s="29"/>
    </row>
    <row r="7" spans="1:14" ht="22.5" customHeight="1" x14ac:dyDescent="0.25">
      <c r="A7" s="23">
        <v>4</v>
      </c>
      <c r="B7" s="21" t="s">
        <v>100</v>
      </c>
      <c r="C7" s="46">
        <v>48000</v>
      </c>
      <c r="D7" s="22">
        <f>'NXT T112022'!L7</f>
        <v>2860.5699999999997</v>
      </c>
      <c r="E7" s="116">
        <f>'NXT T112022'!M7</f>
        <v>137307360</v>
      </c>
      <c r="F7" s="22"/>
      <c r="G7" s="45"/>
      <c r="H7" s="45"/>
      <c r="I7" s="111">
        <v>2860.57</v>
      </c>
      <c r="J7" s="45">
        <v>45700</v>
      </c>
      <c r="K7" s="51">
        <f t="shared" si="0"/>
        <v>130728049.00000001</v>
      </c>
      <c r="L7" s="44">
        <f t="shared" si="1"/>
        <v>0</v>
      </c>
      <c r="M7" s="51">
        <f t="shared" si="2"/>
        <v>6579310.9999999851</v>
      </c>
      <c r="N7" s="29" t="s">
        <v>196</v>
      </c>
    </row>
    <row r="8" spans="1:14" ht="22.5" customHeight="1" x14ac:dyDescent="0.25">
      <c r="A8" s="23">
        <v>5</v>
      </c>
      <c r="B8" s="21" t="s">
        <v>141</v>
      </c>
      <c r="C8" s="46">
        <v>170000</v>
      </c>
      <c r="D8" s="22">
        <f>'NXT T112022'!L8</f>
        <v>0</v>
      </c>
      <c r="E8" s="116">
        <f>'NXT T112022'!M8</f>
        <v>0</v>
      </c>
      <c r="F8" s="22"/>
      <c r="G8" s="45"/>
      <c r="H8" s="45">
        <f t="shared" ref="H8:H52" si="3">F8*G8</f>
        <v>0</v>
      </c>
      <c r="I8" s="111"/>
      <c r="J8" s="45"/>
      <c r="K8" s="51">
        <f t="shared" si="0"/>
        <v>0</v>
      </c>
      <c r="L8" s="44">
        <f t="shared" si="1"/>
        <v>0</v>
      </c>
      <c r="M8" s="51">
        <f t="shared" si="2"/>
        <v>0</v>
      </c>
    </row>
    <row r="9" spans="1:14" ht="22.5" customHeight="1" x14ac:dyDescent="0.25">
      <c r="A9" s="23">
        <v>6</v>
      </c>
      <c r="B9" s="21" t="s">
        <v>141</v>
      </c>
      <c r="C9" s="46">
        <v>170000</v>
      </c>
      <c r="D9" s="22">
        <f>'NXT T112022'!L9</f>
        <v>0</v>
      </c>
      <c r="E9" s="116">
        <f>'NXT T112022'!M9</f>
        <v>0</v>
      </c>
      <c r="F9" s="22"/>
      <c r="G9" s="45"/>
      <c r="H9" s="45">
        <f t="shared" si="3"/>
        <v>0</v>
      </c>
      <c r="I9" s="111"/>
      <c r="J9" s="45"/>
      <c r="K9" s="51">
        <f t="shared" si="0"/>
        <v>0</v>
      </c>
      <c r="L9" s="44">
        <f t="shared" si="1"/>
        <v>0</v>
      </c>
      <c r="M9" s="51">
        <f t="shared" si="2"/>
        <v>0</v>
      </c>
    </row>
    <row r="10" spans="1:14" ht="22.5" customHeight="1" x14ac:dyDescent="0.25">
      <c r="A10" s="23">
        <v>7</v>
      </c>
      <c r="B10" s="21" t="s">
        <v>142</v>
      </c>
      <c r="C10" s="46">
        <v>44000</v>
      </c>
      <c r="D10" s="22">
        <f>'NXT T112022'!L10</f>
        <v>20.400000000001455</v>
      </c>
      <c r="E10" s="116">
        <f>'NXT T112022'!M10</f>
        <v>897600.00000006403</v>
      </c>
      <c r="F10" s="22"/>
      <c r="G10" s="45"/>
      <c r="H10" s="45">
        <f t="shared" si="3"/>
        <v>0</v>
      </c>
      <c r="I10" s="111"/>
      <c r="J10" s="45"/>
      <c r="K10" s="51">
        <f t="shared" si="0"/>
        <v>0</v>
      </c>
      <c r="L10" s="44">
        <f>D10+F10-I10</f>
        <v>20.400000000001455</v>
      </c>
      <c r="M10" s="51">
        <f t="shared" si="2"/>
        <v>897600.00000006403</v>
      </c>
    </row>
    <row r="11" spans="1:14" ht="22.5" customHeight="1" x14ac:dyDescent="0.25">
      <c r="A11" s="23">
        <v>8</v>
      </c>
      <c r="B11" s="21" t="s">
        <v>142</v>
      </c>
      <c r="C11" s="46">
        <v>44000</v>
      </c>
      <c r="D11" s="44">
        <f>'NXT T112022'!L11</f>
        <v>2486.8199999999997</v>
      </c>
      <c r="E11" s="116">
        <f>'NXT T112022'!M11</f>
        <v>109420079.99999999</v>
      </c>
      <c r="F11" s="22"/>
      <c r="G11" s="45"/>
      <c r="H11" s="45">
        <f t="shared" si="3"/>
        <v>0</v>
      </c>
      <c r="I11" s="111">
        <v>1073.43</v>
      </c>
      <c r="J11" s="45">
        <v>40000</v>
      </c>
      <c r="K11" s="51">
        <f t="shared" si="0"/>
        <v>42937200</v>
      </c>
      <c r="L11" s="44">
        <f t="shared" si="1"/>
        <v>1413.3899999999996</v>
      </c>
      <c r="M11" s="51">
        <f t="shared" si="2"/>
        <v>66482879.999999985</v>
      </c>
      <c r="N11" s="2" t="s">
        <v>209</v>
      </c>
    </row>
    <row r="12" spans="1:14" ht="22.5" customHeight="1" x14ac:dyDescent="0.25">
      <c r="A12" s="23">
        <v>9</v>
      </c>
      <c r="B12" s="21" t="s">
        <v>142</v>
      </c>
      <c r="C12" s="46">
        <v>44000</v>
      </c>
      <c r="D12" s="44">
        <f>'NXT T112022'!L12</f>
        <v>2731</v>
      </c>
      <c r="E12" s="116">
        <f>'NXT T112022'!M12</f>
        <v>120164000</v>
      </c>
      <c r="F12" s="22"/>
      <c r="G12" s="45"/>
      <c r="H12" s="45">
        <f t="shared" si="3"/>
        <v>0</v>
      </c>
      <c r="I12" s="111"/>
      <c r="J12" s="45"/>
      <c r="K12" s="51">
        <f t="shared" si="0"/>
        <v>0</v>
      </c>
      <c r="L12" s="44">
        <f t="shared" si="1"/>
        <v>2731</v>
      </c>
      <c r="M12" s="51">
        <f t="shared" si="2"/>
        <v>120164000</v>
      </c>
    </row>
    <row r="13" spans="1:14" ht="22.5" customHeight="1" x14ac:dyDescent="0.25">
      <c r="A13" s="23">
        <v>10</v>
      </c>
      <c r="B13" s="21" t="s">
        <v>142</v>
      </c>
      <c r="C13" s="46">
        <v>44000</v>
      </c>
      <c r="D13" s="22">
        <f>'NXT T112022'!L13</f>
        <v>3642.6000000000004</v>
      </c>
      <c r="E13" s="116">
        <f>'NXT T112022'!M13</f>
        <v>160274400.00000003</v>
      </c>
      <c r="F13" s="22"/>
      <c r="G13" s="45"/>
      <c r="H13" s="45">
        <f t="shared" si="3"/>
        <v>0</v>
      </c>
      <c r="I13" s="111"/>
      <c r="J13" s="45"/>
      <c r="K13" s="51">
        <f t="shared" si="0"/>
        <v>0</v>
      </c>
      <c r="L13" s="44">
        <f t="shared" si="1"/>
        <v>3642.6000000000004</v>
      </c>
      <c r="M13" s="51">
        <f t="shared" si="2"/>
        <v>160274400.00000003</v>
      </c>
    </row>
    <row r="14" spans="1:14" ht="22.5" customHeight="1" x14ac:dyDescent="0.25">
      <c r="A14" s="23">
        <v>11</v>
      </c>
      <c r="B14" s="21" t="s">
        <v>143</v>
      </c>
      <c r="C14" s="46">
        <v>49500</v>
      </c>
      <c r="D14" s="22">
        <f>'NXT T112022'!L14</f>
        <v>5470</v>
      </c>
      <c r="E14" s="116">
        <f>'NXT T112022'!M14</f>
        <v>270765000</v>
      </c>
      <c r="F14" s="22"/>
      <c r="G14" s="45"/>
      <c r="H14" s="45">
        <f t="shared" si="3"/>
        <v>0</v>
      </c>
      <c r="I14" s="111">
        <f>1000+1770</f>
        <v>2770</v>
      </c>
      <c r="J14" s="45">
        <v>49500</v>
      </c>
      <c r="K14" s="51">
        <f t="shared" si="0"/>
        <v>137115000</v>
      </c>
      <c r="L14" s="44">
        <f t="shared" si="1"/>
        <v>2700</v>
      </c>
      <c r="M14" s="51">
        <f t="shared" si="2"/>
        <v>133650000</v>
      </c>
      <c r="N14" s="121" t="s">
        <v>194</v>
      </c>
    </row>
    <row r="15" spans="1:14" ht="22.5" customHeight="1" x14ac:dyDescent="0.25">
      <c r="A15" s="23">
        <v>12</v>
      </c>
      <c r="B15" s="21" t="s">
        <v>151</v>
      </c>
      <c r="C15" s="46">
        <v>52500</v>
      </c>
      <c r="D15" s="22">
        <f>'NXT T112022'!L15</f>
        <v>3780</v>
      </c>
      <c r="E15" s="116">
        <f>'NXT T112022'!M15</f>
        <v>198450000</v>
      </c>
      <c r="F15" s="22"/>
      <c r="G15" s="45"/>
      <c r="H15" s="45">
        <f t="shared" si="3"/>
        <v>0</v>
      </c>
      <c r="I15" s="111"/>
      <c r="J15" s="45"/>
      <c r="K15" s="51">
        <f t="shared" si="0"/>
        <v>0</v>
      </c>
      <c r="L15" s="44">
        <f t="shared" si="1"/>
        <v>3780</v>
      </c>
      <c r="M15" s="51">
        <f t="shared" si="2"/>
        <v>198450000</v>
      </c>
    </row>
    <row r="16" spans="1:14" ht="22.5" customHeight="1" x14ac:dyDescent="0.25">
      <c r="A16" s="23">
        <v>13</v>
      </c>
      <c r="B16" s="21" t="s">
        <v>100</v>
      </c>
      <c r="C16" s="46">
        <v>50000</v>
      </c>
      <c r="D16" s="22">
        <f>'NXT T112022'!L16</f>
        <v>12072.290000000003</v>
      </c>
      <c r="E16" s="116">
        <f>'NXT T112022'!M16</f>
        <v>603614500.00000012</v>
      </c>
      <c r="F16" s="22"/>
      <c r="G16" s="45"/>
      <c r="H16" s="45">
        <f t="shared" si="3"/>
        <v>0</v>
      </c>
      <c r="I16" s="111">
        <v>12072.29</v>
      </c>
      <c r="J16" s="45">
        <v>47500</v>
      </c>
      <c r="K16" s="51">
        <f t="shared" si="0"/>
        <v>573433775</v>
      </c>
      <c r="L16" s="44">
        <f t="shared" si="1"/>
        <v>0</v>
      </c>
      <c r="M16" s="51">
        <f t="shared" si="2"/>
        <v>30180725.000000119</v>
      </c>
      <c r="N16" s="29" t="s">
        <v>196</v>
      </c>
    </row>
    <row r="17" spans="1:14" ht="22.5" customHeight="1" x14ac:dyDescent="0.25">
      <c r="A17" s="23">
        <v>14</v>
      </c>
      <c r="B17" s="21" t="s">
        <v>105</v>
      </c>
      <c r="C17" s="46">
        <v>32000</v>
      </c>
      <c r="D17" s="22">
        <f>'NXT T112022'!L17</f>
        <v>16440</v>
      </c>
      <c r="E17" s="116">
        <f>'NXT T112022'!M17</f>
        <v>526080000</v>
      </c>
      <c r="F17" s="22"/>
      <c r="G17" s="45"/>
      <c r="H17" s="45">
        <f t="shared" si="3"/>
        <v>0</v>
      </c>
      <c r="I17" s="111">
        <v>1470</v>
      </c>
      <c r="J17" s="45">
        <v>29470</v>
      </c>
      <c r="K17" s="51">
        <f t="shared" si="0"/>
        <v>43320900</v>
      </c>
      <c r="L17" s="44">
        <f t="shared" si="1"/>
        <v>14970</v>
      </c>
      <c r="M17" s="51">
        <f t="shared" si="2"/>
        <v>482759100</v>
      </c>
      <c r="N17" s="29" t="s">
        <v>196</v>
      </c>
    </row>
    <row r="18" spans="1:14" ht="22.5" customHeight="1" x14ac:dyDescent="0.25">
      <c r="A18" s="113">
        <v>15</v>
      </c>
      <c r="B18" s="114" t="s">
        <v>130</v>
      </c>
      <c r="C18" s="115">
        <v>41500</v>
      </c>
      <c r="D18" s="70">
        <f>'NXT T112022'!L18</f>
        <v>20660</v>
      </c>
      <c r="E18" s="116">
        <f>'NXT T112022'!M18</f>
        <v>857390000</v>
      </c>
      <c r="F18" s="70"/>
      <c r="G18" s="117"/>
      <c r="H18" s="45">
        <f t="shared" si="3"/>
        <v>0</v>
      </c>
      <c r="I18" s="111"/>
      <c r="J18" s="45"/>
      <c r="K18" s="51">
        <f t="shared" si="0"/>
        <v>0</v>
      </c>
      <c r="L18" s="44">
        <f t="shared" si="1"/>
        <v>20660</v>
      </c>
      <c r="M18" s="51">
        <f t="shared" si="2"/>
        <v>857390000</v>
      </c>
      <c r="N18" s="29"/>
    </row>
    <row r="19" spans="1:14" ht="22.5" customHeight="1" x14ac:dyDescent="0.25">
      <c r="A19" s="113">
        <v>16</v>
      </c>
      <c r="B19" s="114" t="s">
        <v>144</v>
      </c>
      <c r="C19" s="115">
        <v>40000</v>
      </c>
      <c r="D19" s="70">
        <f>'NXT T112022'!L19</f>
        <v>2646.2510000000002</v>
      </c>
      <c r="E19" s="116">
        <f>'NXT T112022'!M19</f>
        <v>105850040.00000001</v>
      </c>
      <c r="F19" s="118"/>
      <c r="G19" s="117"/>
      <c r="H19" s="45">
        <f t="shared" si="3"/>
        <v>0</v>
      </c>
      <c r="I19" s="111"/>
      <c r="J19" s="45"/>
      <c r="K19" s="51">
        <f t="shared" si="0"/>
        <v>0</v>
      </c>
      <c r="L19" s="44">
        <f t="shared" si="1"/>
        <v>2646.2510000000002</v>
      </c>
      <c r="M19" s="51">
        <f t="shared" si="2"/>
        <v>105850040.00000001</v>
      </c>
    </row>
    <row r="20" spans="1:14" ht="22.5" customHeight="1" x14ac:dyDescent="0.25">
      <c r="A20" s="113">
        <v>17</v>
      </c>
      <c r="B20" s="114" t="s">
        <v>123</v>
      </c>
      <c r="C20" s="115">
        <v>49000</v>
      </c>
      <c r="D20" s="70">
        <f>'NXT T112022'!L20</f>
        <v>2582.4299999999985</v>
      </c>
      <c r="E20" s="116">
        <f>'NXT T112022'!M20</f>
        <v>126539069.99999993</v>
      </c>
      <c r="F20" s="70"/>
      <c r="G20" s="117"/>
      <c r="H20" s="45">
        <f t="shared" si="3"/>
        <v>0</v>
      </c>
      <c r="I20" s="111"/>
      <c r="J20" s="45"/>
      <c r="K20" s="51">
        <f t="shared" si="0"/>
        <v>0</v>
      </c>
      <c r="L20" s="44">
        <f t="shared" si="1"/>
        <v>2582.4299999999985</v>
      </c>
      <c r="M20" s="51">
        <f t="shared" si="2"/>
        <v>126539069.99999993</v>
      </c>
    </row>
    <row r="21" spans="1:14" ht="22.5" customHeight="1" x14ac:dyDescent="0.25">
      <c r="A21" s="113">
        <v>18</v>
      </c>
      <c r="B21" s="114" t="s">
        <v>132</v>
      </c>
      <c r="C21" s="115">
        <v>160000</v>
      </c>
      <c r="D21" s="70">
        <f>'NXT T112022'!L21</f>
        <v>343.64</v>
      </c>
      <c r="E21" s="116">
        <f>'NXT T112022'!M21</f>
        <v>54982400</v>
      </c>
      <c r="F21" s="70"/>
      <c r="G21" s="117"/>
      <c r="H21" s="45">
        <f t="shared" si="3"/>
        <v>0</v>
      </c>
      <c r="I21" s="111"/>
      <c r="J21" s="45"/>
      <c r="K21" s="51">
        <f t="shared" si="0"/>
        <v>0</v>
      </c>
      <c r="L21" s="44">
        <f t="shared" si="1"/>
        <v>343.64</v>
      </c>
      <c r="M21" s="51">
        <f t="shared" si="2"/>
        <v>54982400</v>
      </c>
    </row>
    <row r="22" spans="1:14" ht="22.5" customHeight="1" x14ac:dyDescent="0.25">
      <c r="A22" s="113">
        <v>19</v>
      </c>
      <c r="B22" s="114" t="s">
        <v>144</v>
      </c>
      <c r="C22" s="115">
        <v>38000</v>
      </c>
      <c r="D22" s="70">
        <f>'NXT T112022'!L22</f>
        <v>28307.54</v>
      </c>
      <c r="E22" s="116">
        <f>'NXT T112022'!M22</f>
        <v>1075686520</v>
      </c>
      <c r="F22" s="70"/>
      <c r="G22" s="117"/>
      <c r="H22" s="45">
        <f t="shared" si="3"/>
        <v>0</v>
      </c>
      <c r="I22" s="111"/>
      <c r="J22" s="45"/>
      <c r="K22" s="51">
        <f t="shared" si="0"/>
        <v>0</v>
      </c>
      <c r="L22" s="44">
        <f t="shared" si="1"/>
        <v>28307.54</v>
      </c>
      <c r="M22" s="51">
        <f t="shared" si="2"/>
        <v>1075686520</v>
      </c>
    </row>
    <row r="23" spans="1:14" ht="22.5" customHeight="1" x14ac:dyDescent="0.25">
      <c r="A23" s="113">
        <v>20</v>
      </c>
      <c r="B23" s="114" t="s">
        <v>145</v>
      </c>
      <c r="C23" s="115">
        <v>40904</v>
      </c>
      <c r="D23" s="70">
        <f>'NXT T112022'!L23</f>
        <v>11046.73</v>
      </c>
      <c r="E23" s="116">
        <f>'NXT T112022'!M23</f>
        <v>451855443.91999996</v>
      </c>
      <c r="F23" s="70"/>
      <c r="G23" s="117"/>
      <c r="H23" s="45">
        <f t="shared" si="3"/>
        <v>0</v>
      </c>
      <c r="I23" s="111"/>
      <c r="J23" s="45"/>
      <c r="K23" s="51">
        <f t="shared" si="0"/>
        <v>0</v>
      </c>
      <c r="L23" s="44">
        <f t="shared" si="1"/>
        <v>11046.73</v>
      </c>
      <c r="M23" s="51">
        <f t="shared" si="2"/>
        <v>451855443.91999996</v>
      </c>
    </row>
    <row r="24" spans="1:14" s="29" customFormat="1" ht="22.5" customHeight="1" x14ac:dyDescent="0.25">
      <c r="A24" s="23">
        <v>21</v>
      </c>
      <c r="B24" s="21" t="s">
        <v>146</v>
      </c>
      <c r="C24" s="46">
        <v>40904</v>
      </c>
      <c r="D24" s="22">
        <f>'NXT T112022'!L24</f>
        <v>10340.15</v>
      </c>
      <c r="E24" s="51">
        <f>'NXT T112022'!M24</f>
        <v>422953495.59999996</v>
      </c>
      <c r="F24" s="22"/>
      <c r="G24" s="45"/>
      <c r="H24" s="45">
        <f t="shared" si="3"/>
        <v>0</v>
      </c>
      <c r="I24" s="111">
        <f>2974.05+1950.4</f>
        <v>4924.4500000000007</v>
      </c>
      <c r="J24" s="45">
        <v>52300</v>
      </c>
      <c r="K24" s="51">
        <f t="shared" si="0"/>
        <v>257548735.00000003</v>
      </c>
      <c r="L24" s="44">
        <f t="shared" si="1"/>
        <v>5415.6999999999989</v>
      </c>
      <c r="M24" s="51">
        <f t="shared" si="2"/>
        <v>165404760.59999993</v>
      </c>
      <c r="N24" s="121" t="s">
        <v>194</v>
      </c>
    </row>
    <row r="25" spans="1:14" s="121" customFormat="1" ht="22.5" customHeight="1" x14ac:dyDescent="0.25">
      <c r="A25" s="113">
        <v>22</v>
      </c>
      <c r="B25" s="114" t="s">
        <v>144</v>
      </c>
      <c r="C25" s="115">
        <v>49500</v>
      </c>
      <c r="D25" s="70">
        <f>'NXT T112022'!L25</f>
        <v>25669.71</v>
      </c>
      <c r="E25" s="116">
        <f>'NXT T112022'!M25</f>
        <v>1270650645</v>
      </c>
      <c r="F25" s="70"/>
      <c r="G25" s="117"/>
      <c r="H25" s="45">
        <f t="shared" si="3"/>
        <v>0</v>
      </c>
      <c r="I25" s="119">
        <v>15338.76</v>
      </c>
      <c r="J25" s="45">
        <v>49000</v>
      </c>
      <c r="K25" s="51">
        <f t="shared" si="0"/>
        <v>751599240</v>
      </c>
      <c r="L25" s="120">
        <f t="shared" si="1"/>
        <v>10330.949999999999</v>
      </c>
      <c r="M25" s="116">
        <f t="shared" si="2"/>
        <v>519051405</v>
      </c>
      <c r="N25" s="121" t="s">
        <v>197</v>
      </c>
    </row>
    <row r="26" spans="1:14" s="121" customFormat="1" ht="22.5" customHeight="1" x14ac:dyDescent="0.25">
      <c r="A26" s="113">
        <v>23</v>
      </c>
      <c r="B26" s="114" t="s">
        <v>130</v>
      </c>
      <c r="C26" s="115">
        <v>41000</v>
      </c>
      <c r="D26" s="70">
        <f>'NXT T112022'!L26</f>
        <v>20994.6</v>
      </c>
      <c r="E26" s="116">
        <f>'NXT T112022'!M26</f>
        <v>860778599.99999988</v>
      </c>
      <c r="F26" s="70"/>
      <c r="G26" s="117"/>
      <c r="H26" s="45">
        <f t="shared" si="3"/>
        <v>0</v>
      </c>
      <c r="I26" s="119"/>
      <c r="J26" s="117"/>
      <c r="K26" s="51">
        <f t="shared" si="0"/>
        <v>0</v>
      </c>
      <c r="L26" s="120">
        <f t="shared" si="1"/>
        <v>20994.6</v>
      </c>
      <c r="M26" s="116">
        <f t="shared" si="2"/>
        <v>860778599.99999988</v>
      </c>
    </row>
    <row r="27" spans="1:14" s="121" customFormat="1" ht="22.5" customHeight="1" x14ac:dyDescent="0.25">
      <c r="A27" s="113">
        <v>24</v>
      </c>
      <c r="B27" s="114" t="s">
        <v>123</v>
      </c>
      <c r="C27" s="115">
        <v>47500</v>
      </c>
      <c r="D27" s="70">
        <f>'NXT T112022'!L27</f>
        <v>46512.1</v>
      </c>
      <c r="E27" s="116">
        <f>'NXT T112022'!M27</f>
        <v>2209324750</v>
      </c>
      <c r="F27" s="70"/>
      <c r="G27" s="117"/>
      <c r="H27" s="45">
        <f t="shared" si="3"/>
        <v>0</v>
      </c>
      <c r="I27" s="119"/>
      <c r="J27" s="117"/>
      <c r="K27" s="51">
        <f t="shared" si="0"/>
        <v>0</v>
      </c>
      <c r="L27" s="120">
        <f t="shared" si="1"/>
        <v>46512.1</v>
      </c>
      <c r="M27" s="116">
        <f t="shared" si="2"/>
        <v>2209324750</v>
      </c>
      <c r="N27" s="2"/>
    </row>
    <row r="28" spans="1:14" s="121" customFormat="1" ht="22.5" customHeight="1" x14ac:dyDescent="0.25">
      <c r="A28" s="113">
        <v>25</v>
      </c>
      <c r="B28" s="114" t="s">
        <v>158</v>
      </c>
      <c r="C28" s="115">
        <v>163000</v>
      </c>
      <c r="D28" s="70">
        <f>'NXT T112022'!L28</f>
        <v>1166.28</v>
      </c>
      <c r="E28" s="116">
        <f>'NXT T112022'!M28</f>
        <v>190103640</v>
      </c>
      <c r="F28" s="70"/>
      <c r="G28" s="117"/>
      <c r="H28" s="45">
        <f t="shared" si="3"/>
        <v>0</v>
      </c>
      <c r="I28" s="119"/>
      <c r="J28" s="117"/>
      <c r="K28" s="51">
        <f t="shared" si="0"/>
        <v>0</v>
      </c>
      <c r="L28" s="120">
        <f t="shared" si="1"/>
        <v>1166.28</v>
      </c>
      <c r="M28" s="116">
        <f t="shared" si="2"/>
        <v>190103640</v>
      </c>
      <c r="N28" s="2"/>
    </row>
    <row r="29" spans="1:14" s="121" customFormat="1" ht="22.5" customHeight="1" x14ac:dyDescent="0.25">
      <c r="A29" s="113">
        <v>26</v>
      </c>
      <c r="B29" s="114" t="s">
        <v>130</v>
      </c>
      <c r="C29" s="115">
        <v>42000</v>
      </c>
      <c r="D29" s="70">
        <f>'NXT T112022'!L29</f>
        <v>20885.12</v>
      </c>
      <c r="E29" s="116">
        <f>'NXT T112022'!M29</f>
        <v>877175040</v>
      </c>
      <c r="F29" s="70"/>
      <c r="G29" s="117"/>
      <c r="H29" s="45">
        <f t="shared" si="3"/>
        <v>0</v>
      </c>
      <c r="I29" s="119"/>
      <c r="J29" s="117"/>
      <c r="K29" s="51">
        <f t="shared" si="0"/>
        <v>0</v>
      </c>
      <c r="L29" s="120">
        <f t="shared" si="1"/>
        <v>20885.12</v>
      </c>
      <c r="M29" s="116">
        <f t="shared" si="2"/>
        <v>877175040</v>
      </c>
    </row>
    <row r="30" spans="1:14" s="121" customFormat="1" ht="22.5" customHeight="1" x14ac:dyDescent="0.25">
      <c r="A30" s="113">
        <v>27</v>
      </c>
      <c r="B30" s="114" t="s">
        <v>130</v>
      </c>
      <c r="C30" s="115">
        <v>41000</v>
      </c>
      <c r="D30" s="70">
        <f>'NXT T112022'!L30</f>
        <v>20988.6</v>
      </c>
      <c r="E30" s="116">
        <f>'NXT T112022'!M30</f>
        <v>860532599.99999988</v>
      </c>
      <c r="F30" s="70"/>
      <c r="G30" s="117"/>
      <c r="H30" s="45">
        <f t="shared" si="3"/>
        <v>0</v>
      </c>
      <c r="I30" s="119"/>
      <c r="J30" s="117"/>
      <c r="K30" s="51">
        <f t="shared" si="0"/>
        <v>0</v>
      </c>
      <c r="L30" s="120">
        <f t="shared" si="1"/>
        <v>20988.6</v>
      </c>
      <c r="M30" s="116">
        <f t="shared" si="2"/>
        <v>860532599.99999988</v>
      </c>
    </row>
    <row r="31" spans="1:14" s="121" customFormat="1" ht="22.5" customHeight="1" x14ac:dyDescent="0.25">
      <c r="A31" s="113">
        <v>28</v>
      </c>
      <c r="B31" s="114" t="s">
        <v>130</v>
      </c>
      <c r="C31" s="115">
        <v>38000</v>
      </c>
      <c r="D31" s="70">
        <f>'NXT T112022'!L31</f>
        <v>20982.33</v>
      </c>
      <c r="E31" s="116">
        <f>'NXT T112022'!M31</f>
        <v>797328540.00000012</v>
      </c>
      <c r="F31" s="70"/>
      <c r="G31" s="117"/>
      <c r="H31" s="45">
        <f t="shared" si="3"/>
        <v>0</v>
      </c>
      <c r="I31" s="119"/>
      <c r="J31" s="117"/>
      <c r="K31" s="116">
        <f t="shared" si="0"/>
        <v>0</v>
      </c>
      <c r="L31" s="120">
        <f t="shared" si="1"/>
        <v>20982.33</v>
      </c>
      <c r="M31" s="116">
        <f t="shared" si="2"/>
        <v>797328540.00000012</v>
      </c>
    </row>
    <row r="32" spans="1:14" s="121" customFormat="1" ht="22.5" customHeight="1" x14ac:dyDescent="0.25">
      <c r="A32" s="113">
        <v>29</v>
      </c>
      <c r="B32" s="114" t="s">
        <v>144</v>
      </c>
      <c r="C32" s="115">
        <v>49500</v>
      </c>
      <c r="D32" s="70">
        <f>'NXT T112022'!L32</f>
        <v>2697</v>
      </c>
      <c r="E32" s="116">
        <f>'NXT T112022'!M32</f>
        <v>133501500</v>
      </c>
      <c r="F32" s="70"/>
      <c r="G32" s="117"/>
      <c r="H32" s="45">
        <f t="shared" si="3"/>
        <v>0</v>
      </c>
      <c r="I32" s="119"/>
      <c r="J32" s="117"/>
      <c r="K32" s="116">
        <f t="shared" si="0"/>
        <v>0</v>
      </c>
      <c r="L32" s="120">
        <f t="shared" si="1"/>
        <v>2697</v>
      </c>
      <c r="M32" s="116">
        <f t="shared" si="2"/>
        <v>133501500</v>
      </c>
    </row>
    <row r="33" spans="1:14" s="121" customFormat="1" ht="22.5" customHeight="1" x14ac:dyDescent="0.25">
      <c r="A33" s="113">
        <v>30</v>
      </c>
      <c r="B33" s="114" t="s">
        <v>130</v>
      </c>
      <c r="C33" s="115"/>
      <c r="D33" s="70">
        <f>'NXT T112022'!L33</f>
        <v>21076.5</v>
      </c>
      <c r="E33" s="116">
        <f>'NXT T112022'!M33</f>
        <v>800907000</v>
      </c>
      <c r="F33" s="70"/>
      <c r="G33" s="117"/>
      <c r="H33" s="45">
        <f t="shared" si="3"/>
        <v>0</v>
      </c>
      <c r="I33" s="119"/>
      <c r="J33" s="117"/>
      <c r="K33" s="116">
        <f t="shared" si="0"/>
        <v>0</v>
      </c>
      <c r="L33" s="120">
        <f t="shared" si="1"/>
        <v>21076.5</v>
      </c>
      <c r="M33" s="116">
        <f t="shared" si="2"/>
        <v>800907000</v>
      </c>
    </row>
    <row r="34" spans="1:14" s="121" customFormat="1" ht="22.5" customHeight="1" x14ac:dyDescent="0.25">
      <c r="A34" s="113">
        <v>31</v>
      </c>
      <c r="B34" s="114" t="s">
        <v>130</v>
      </c>
      <c r="C34" s="115"/>
      <c r="D34" s="70">
        <f>'NXT T112022'!L34</f>
        <v>20791</v>
      </c>
      <c r="E34" s="116">
        <f>'NXT T112022'!M34</f>
        <v>790058000</v>
      </c>
      <c r="F34" s="70"/>
      <c r="G34" s="117"/>
      <c r="H34" s="45">
        <f t="shared" si="3"/>
        <v>0</v>
      </c>
      <c r="I34" s="119"/>
      <c r="J34" s="117"/>
      <c r="K34" s="116">
        <f t="shared" si="0"/>
        <v>0</v>
      </c>
      <c r="L34" s="120">
        <f t="shared" si="1"/>
        <v>20791</v>
      </c>
      <c r="M34" s="116">
        <f t="shared" si="2"/>
        <v>790058000</v>
      </c>
    </row>
    <row r="35" spans="1:14" s="121" customFormat="1" ht="22.5" customHeight="1" x14ac:dyDescent="0.25">
      <c r="A35" s="113">
        <v>32</v>
      </c>
      <c r="B35" s="21" t="s">
        <v>142</v>
      </c>
      <c r="C35" s="46"/>
      <c r="D35" s="70">
        <f>'NXT T112022'!L35</f>
        <v>9842.19</v>
      </c>
      <c r="E35" s="116">
        <f>'NXT T112022'!M35</f>
        <v>413371980</v>
      </c>
      <c r="F35" s="70"/>
      <c r="G35" s="117"/>
      <c r="H35" s="45">
        <f t="shared" si="3"/>
        <v>0</v>
      </c>
      <c r="I35" s="119">
        <f>6425+2596.5+702.2</f>
        <v>9723.7000000000007</v>
      </c>
      <c r="J35" s="117">
        <v>44000</v>
      </c>
      <c r="K35" s="116">
        <f t="shared" si="0"/>
        <v>427842800.00000006</v>
      </c>
      <c r="L35" s="120">
        <f t="shared" si="1"/>
        <v>118.48999999999978</v>
      </c>
      <c r="M35" s="116">
        <f t="shared" si="2"/>
        <v>-14470820.00000006</v>
      </c>
      <c r="N35" s="121" t="s">
        <v>207</v>
      </c>
    </row>
    <row r="36" spans="1:14" s="29" customFormat="1" ht="22.5" customHeight="1" x14ac:dyDescent="0.25">
      <c r="A36" s="23">
        <v>33</v>
      </c>
      <c r="B36" s="21" t="s">
        <v>143</v>
      </c>
      <c r="C36" s="46"/>
      <c r="D36" s="22">
        <f>'NXT T112022'!L36</f>
        <v>2700</v>
      </c>
      <c r="E36" s="51">
        <f>'NXT T112022'!M36</f>
        <v>133650000</v>
      </c>
      <c r="F36" s="22"/>
      <c r="G36" s="45"/>
      <c r="H36" s="45">
        <f t="shared" si="3"/>
        <v>0</v>
      </c>
      <c r="I36" s="22"/>
      <c r="J36" s="45"/>
      <c r="K36" s="51">
        <f t="shared" si="0"/>
        <v>0</v>
      </c>
      <c r="L36" s="44">
        <f t="shared" si="1"/>
        <v>2700</v>
      </c>
      <c r="M36" s="51">
        <f t="shared" si="2"/>
        <v>133650000</v>
      </c>
    </row>
    <row r="37" spans="1:14" s="121" customFormat="1" ht="22.5" customHeight="1" x14ac:dyDescent="0.25">
      <c r="A37" s="113">
        <v>34</v>
      </c>
      <c r="B37" s="114" t="s">
        <v>123</v>
      </c>
      <c r="C37" s="115"/>
      <c r="D37" s="70">
        <f>'NXT T112022'!L37</f>
        <v>11647.330000000002</v>
      </c>
      <c r="E37" s="116">
        <f>'NXT T112022'!M37</f>
        <v>582366500.00000012</v>
      </c>
      <c r="F37" s="70"/>
      <c r="G37" s="117"/>
      <c r="H37" s="45">
        <f t="shared" si="3"/>
        <v>0</v>
      </c>
      <c r="I37" s="70">
        <v>5742.52</v>
      </c>
      <c r="J37" s="117">
        <v>51300</v>
      </c>
      <c r="K37" s="116">
        <f t="shared" si="0"/>
        <v>294591276</v>
      </c>
      <c r="L37" s="120">
        <f t="shared" si="1"/>
        <v>5904.8100000000013</v>
      </c>
      <c r="M37" s="116">
        <f t="shared" si="2"/>
        <v>287775224.00000012</v>
      </c>
      <c r="N37" s="121" t="s">
        <v>193</v>
      </c>
    </row>
    <row r="38" spans="1:14" s="121" customFormat="1" ht="22.5" customHeight="1" x14ac:dyDescent="0.25">
      <c r="A38" s="113">
        <v>35</v>
      </c>
      <c r="B38" s="114" t="s">
        <v>146</v>
      </c>
      <c r="C38" s="115"/>
      <c r="D38" s="70">
        <f>'NXT T112022'!L38</f>
        <v>5414.74</v>
      </c>
      <c r="E38" s="116">
        <f>'NXT T112022'!M38</f>
        <v>283190902</v>
      </c>
      <c r="F38" s="70"/>
      <c r="G38" s="117"/>
      <c r="H38" s="45">
        <f t="shared" si="3"/>
        <v>0</v>
      </c>
      <c r="I38" s="119"/>
      <c r="J38" s="117"/>
      <c r="K38" s="116">
        <f t="shared" si="0"/>
        <v>0</v>
      </c>
      <c r="L38" s="120">
        <f t="shared" si="1"/>
        <v>5414.74</v>
      </c>
      <c r="M38" s="116">
        <f t="shared" si="2"/>
        <v>283190902</v>
      </c>
    </row>
    <row r="39" spans="1:14" s="121" customFormat="1" ht="22.5" customHeight="1" x14ac:dyDescent="0.25">
      <c r="A39" s="113">
        <v>36</v>
      </c>
      <c r="B39" s="114" t="s">
        <v>171</v>
      </c>
      <c r="C39" s="115"/>
      <c r="D39" s="70">
        <f>'NXT T112022'!L39</f>
        <v>2092.91</v>
      </c>
      <c r="E39" s="116">
        <f>'NXT T112022'!M39</f>
        <v>351608880</v>
      </c>
      <c r="F39" s="70"/>
      <c r="G39" s="117"/>
      <c r="H39" s="45">
        <f t="shared" si="3"/>
        <v>0</v>
      </c>
      <c r="I39" s="119">
        <f>896.1+445.7+1221.3</f>
        <v>2563.1</v>
      </c>
      <c r="J39" s="117">
        <v>168000</v>
      </c>
      <c r="K39" s="116">
        <f t="shared" si="0"/>
        <v>430600800</v>
      </c>
      <c r="L39" s="120">
        <f t="shared" si="1"/>
        <v>-470.19000000000005</v>
      </c>
      <c r="M39" s="116">
        <f t="shared" si="2"/>
        <v>-78991920</v>
      </c>
      <c r="N39" s="29" t="s">
        <v>211</v>
      </c>
    </row>
    <row r="40" spans="1:14" s="121" customFormat="1" ht="22.5" customHeight="1" x14ac:dyDescent="0.25">
      <c r="A40" s="113">
        <v>37</v>
      </c>
      <c r="B40" s="114" t="s">
        <v>145</v>
      </c>
      <c r="C40" s="115"/>
      <c r="D40" s="70">
        <f>'NXT T112022'!L40</f>
        <v>8852.2099999999991</v>
      </c>
      <c r="E40" s="116">
        <f>'NXT T112022'!M40</f>
        <v>427561742.99999994</v>
      </c>
      <c r="F40" s="22"/>
      <c r="G40" s="117"/>
      <c r="H40" s="45">
        <f t="shared" si="3"/>
        <v>0</v>
      </c>
      <c r="I40" s="119"/>
      <c r="J40" s="117"/>
      <c r="K40" s="116">
        <f t="shared" si="0"/>
        <v>0</v>
      </c>
      <c r="L40" s="120">
        <f t="shared" si="1"/>
        <v>8852.2099999999991</v>
      </c>
      <c r="M40" s="116">
        <f t="shared" si="2"/>
        <v>427561742.99999994</v>
      </c>
    </row>
    <row r="41" spans="1:14" s="121" customFormat="1" ht="22.5" customHeight="1" x14ac:dyDescent="0.25">
      <c r="A41" s="113">
        <v>38</v>
      </c>
      <c r="B41" s="21" t="s">
        <v>142</v>
      </c>
      <c r="C41" s="115"/>
      <c r="D41" s="70">
        <f>'NXT T112022'!L41</f>
        <v>34636.199999999997</v>
      </c>
      <c r="E41" s="116">
        <f>'NXT T112022'!M41</f>
        <v>1523992799.9999998</v>
      </c>
      <c r="F41" s="22"/>
      <c r="G41" s="117"/>
      <c r="H41" s="45">
        <f>F41*G41</f>
        <v>0</v>
      </c>
      <c r="I41" s="22">
        <f>14661.6+13254+2595.9+4124.7</f>
        <v>34636.199999999997</v>
      </c>
      <c r="J41" s="117">
        <v>44000</v>
      </c>
      <c r="K41" s="116">
        <f>I41*J41</f>
        <v>1523992799.9999998</v>
      </c>
      <c r="L41" s="120">
        <f>D41+F41-I41</f>
        <v>0</v>
      </c>
      <c r="M41" s="116">
        <f t="shared" si="2"/>
        <v>0</v>
      </c>
      <c r="N41" s="121" t="s">
        <v>208</v>
      </c>
    </row>
    <row r="42" spans="1:14" s="121" customFormat="1" ht="22.5" customHeight="1" x14ac:dyDescent="0.25">
      <c r="A42" s="113">
        <v>39</v>
      </c>
      <c r="B42" s="21" t="s">
        <v>187</v>
      </c>
      <c r="C42" s="115"/>
      <c r="D42" s="70">
        <f>'NXT T112022'!L42</f>
        <v>2250</v>
      </c>
      <c r="E42" s="116">
        <f>'NXT T112022'!M42</f>
        <v>66307500</v>
      </c>
      <c r="F42" s="22"/>
      <c r="G42" s="117"/>
      <c r="H42" s="45">
        <f>F42*G42</f>
        <v>0</v>
      </c>
      <c r="I42" s="22">
        <f>1050</f>
        <v>1050</v>
      </c>
      <c r="J42" s="117">
        <v>29470</v>
      </c>
      <c r="K42" s="116">
        <f>I42*J42</f>
        <v>30943500</v>
      </c>
      <c r="L42" s="120">
        <f>D42+F42-I42</f>
        <v>1200</v>
      </c>
      <c r="M42" s="116">
        <f t="shared" si="2"/>
        <v>35364000</v>
      </c>
      <c r="N42" s="121" t="s">
        <v>202</v>
      </c>
    </row>
    <row r="43" spans="1:14" s="121" customFormat="1" ht="22.5" customHeight="1" x14ac:dyDescent="0.25">
      <c r="A43" s="113">
        <v>40</v>
      </c>
      <c r="B43" s="21" t="s">
        <v>100</v>
      </c>
      <c r="C43" s="115"/>
      <c r="D43" s="70">
        <f>'NXT T112022'!L43</f>
        <v>1052.6099999999999</v>
      </c>
      <c r="E43" s="116">
        <f>'NXT T112022'!M43</f>
        <v>50525279.999999993</v>
      </c>
      <c r="F43" s="22"/>
      <c r="G43" s="117"/>
      <c r="H43" s="45">
        <f t="shared" si="3"/>
        <v>0</v>
      </c>
      <c r="I43" s="119">
        <v>1052.6099999999999</v>
      </c>
      <c r="J43" s="117">
        <v>45700</v>
      </c>
      <c r="K43" s="116">
        <f t="shared" si="0"/>
        <v>48104276.999999993</v>
      </c>
      <c r="L43" s="120">
        <f>D43+F43-I43</f>
        <v>0</v>
      </c>
      <c r="M43" s="116">
        <f t="shared" si="2"/>
        <v>2421003</v>
      </c>
      <c r="N43" s="29" t="s">
        <v>196</v>
      </c>
    </row>
    <row r="44" spans="1:14" s="121" customFormat="1" ht="22.5" customHeight="1" x14ac:dyDescent="0.25">
      <c r="A44" s="113">
        <v>41</v>
      </c>
      <c r="B44" s="114" t="s">
        <v>191</v>
      </c>
      <c r="C44" s="115"/>
      <c r="D44" s="70">
        <f>'NXT T112022'!L44</f>
        <v>100</v>
      </c>
      <c r="E44" s="116">
        <f>'NXT T112022'!M44</f>
        <v>5240000</v>
      </c>
      <c r="F44" s="70"/>
      <c r="G44" s="117"/>
      <c r="H44" s="45">
        <f t="shared" si="3"/>
        <v>0</v>
      </c>
      <c r="I44" s="119">
        <f>300+4600</f>
        <v>4900</v>
      </c>
      <c r="J44" s="117">
        <v>52400</v>
      </c>
      <c r="K44" s="116">
        <f t="shared" si="0"/>
        <v>256760000</v>
      </c>
      <c r="L44" s="120">
        <f t="shared" si="1"/>
        <v>-4800</v>
      </c>
      <c r="M44" s="116">
        <f t="shared" si="2"/>
        <v>-251520000</v>
      </c>
      <c r="N44" s="29" t="s">
        <v>212</v>
      </c>
    </row>
    <row r="45" spans="1:14" s="121" customFormat="1" ht="22.5" customHeight="1" x14ac:dyDescent="0.25">
      <c r="A45" s="113">
        <v>42</v>
      </c>
      <c r="B45" s="114" t="s">
        <v>195</v>
      </c>
      <c r="C45" s="115"/>
      <c r="D45" s="70"/>
      <c r="E45" s="116"/>
      <c r="F45" s="70"/>
      <c r="G45" s="117"/>
      <c r="H45" s="45">
        <f t="shared" si="3"/>
        <v>0</v>
      </c>
      <c r="I45" s="70">
        <f>2027.6+6103.62+10232.5</f>
        <v>18363.72</v>
      </c>
      <c r="J45" s="117">
        <v>51000</v>
      </c>
      <c r="K45" s="116">
        <f t="shared" si="0"/>
        <v>936549720</v>
      </c>
      <c r="L45" s="120">
        <f t="shared" si="1"/>
        <v>-18363.72</v>
      </c>
      <c r="M45" s="116">
        <f t="shared" si="2"/>
        <v>-936549720</v>
      </c>
      <c r="N45" s="29" t="s">
        <v>211</v>
      </c>
    </row>
    <row r="46" spans="1:14" s="121" customFormat="1" ht="22.5" customHeight="1" x14ac:dyDescent="0.25">
      <c r="A46" s="113">
        <v>43</v>
      </c>
      <c r="B46" s="21" t="s">
        <v>100</v>
      </c>
      <c r="C46" s="115"/>
      <c r="D46" s="70"/>
      <c r="E46" s="116"/>
      <c r="F46" s="70"/>
      <c r="G46" s="117"/>
      <c r="H46" s="45">
        <f t="shared" si="3"/>
        <v>0</v>
      </c>
      <c r="I46" s="70">
        <v>7188.53</v>
      </c>
      <c r="J46" s="117">
        <v>45700</v>
      </c>
      <c r="K46" s="116">
        <f t="shared" si="0"/>
        <v>328515821</v>
      </c>
      <c r="L46" s="120">
        <f>D46+F46-I46</f>
        <v>-7188.53</v>
      </c>
      <c r="M46" s="116">
        <f t="shared" si="2"/>
        <v>-328515821</v>
      </c>
      <c r="N46" s="29" t="s">
        <v>196</v>
      </c>
    </row>
    <row r="47" spans="1:14" s="121" customFormat="1" ht="22.5" customHeight="1" x14ac:dyDescent="0.25">
      <c r="A47" s="113">
        <v>44</v>
      </c>
      <c r="B47" s="21" t="s">
        <v>131</v>
      </c>
      <c r="C47" s="115"/>
      <c r="D47" s="70"/>
      <c r="E47" s="116"/>
      <c r="F47" s="70">
        <v>27000</v>
      </c>
      <c r="G47" s="117">
        <v>40000</v>
      </c>
      <c r="H47" s="45">
        <f t="shared" si="3"/>
        <v>1080000000</v>
      </c>
      <c r="I47" s="70">
        <v>27000</v>
      </c>
      <c r="J47" s="117">
        <v>42000</v>
      </c>
      <c r="K47" s="116">
        <f t="shared" si="0"/>
        <v>1134000000</v>
      </c>
      <c r="L47" s="120">
        <f t="shared" si="1"/>
        <v>0</v>
      </c>
      <c r="M47" s="116">
        <f t="shared" si="2"/>
        <v>-54000000</v>
      </c>
      <c r="N47" s="2" t="s">
        <v>204</v>
      </c>
    </row>
    <row r="48" spans="1:14" s="121" customFormat="1" ht="22.5" customHeight="1" x14ac:dyDescent="0.25">
      <c r="A48" s="113">
        <v>45</v>
      </c>
      <c r="B48" s="21" t="s">
        <v>198</v>
      </c>
      <c r="C48" s="115"/>
      <c r="D48" s="70"/>
      <c r="E48" s="116"/>
      <c r="F48" s="70">
        <v>12200</v>
      </c>
      <c r="G48" s="117">
        <v>64500</v>
      </c>
      <c r="H48" s="45">
        <f t="shared" si="3"/>
        <v>786900000</v>
      </c>
      <c r="I48" s="70">
        <v>12200</v>
      </c>
      <c r="J48" s="117">
        <v>66000</v>
      </c>
      <c r="K48" s="116">
        <f t="shared" si="0"/>
        <v>805200000</v>
      </c>
      <c r="L48" s="120">
        <f t="shared" si="1"/>
        <v>0</v>
      </c>
      <c r="M48" s="116">
        <f t="shared" si="2"/>
        <v>-18300000</v>
      </c>
      <c r="N48" s="2" t="s">
        <v>205</v>
      </c>
    </row>
    <row r="49" spans="1:14" s="121" customFormat="1" ht="22.5" customHeight="1" x14ac:dyDescent="0.25">
      <c r="A49" s="113">
        <v>46</v>
      </c>
      <c r="B49" s="21" t="s">
        <v>199</v>
      </c>
      <c r="C49" s="115"/>
      <c r="D49" s="70"/>
      <c r="E49" s="116"/>
      <c r="F49" s="70">
        <v>3000</v>
      </c>
      <c r="G49" s="117">
        <v>52000</v>
      </c>
      <c r="H49" s="45">
        <f t="shared" si="3"/>
        <v>156000000</v>
      </c>
      <c r="I49" s="70">
        <v>3000</v>
      </c>
      <c r="J49" s="117">
        <v>54000</v>
      </c>
      <c r="K49" s="116">
        <f t="shared" si="0"/>
        <v>162000000</v>
      </c>
      <c r="L49" s="120">
        <f t="shared" si="1"/>
        <v>0</v>
      </c>
      <c r="M49" s="116">
        <f t="shared" si="2"/>
        <v>-6000000</v>
      </c>
      <c r="N49" s="2" t="s">
        <v>203</v>
      </c>
    </row>
    <row r="50" spans="1:14" s="121" customFormat="1" ht="22.5" customHeight="1" x14ac:dyDescent="0.25">
      <c r="A50" s="113">
        <v>47</v>
      </c>
      <c r="B50" s="114" t="s">
        <v>200</v>
      </c>
      <c r="C50" s="115"/>
      <c r="D50" s="70"/>
      <c r="E50" s="116"/>
      <c r="F50" s="70">
        <v>1500</v>
      </c>
      <c r="G50" s="117">
        <v>45000</v>
      </c>
      <c r="H50" s="45">
        <f t="shared" si="3"/>
        <v>67500000</v>
      </c>
      <c r="I50" s="70">
        <v>1499.3</v>
      </c>
      <c r="J50" s="117">
        <v>45000</v>
      </c>
      <c r="K50" s="116">
        <f t="shared" si="0"/>
        <v>67468500</v>
      </c>
      <c r="L50" s="120">
        <f t="shared" si="1"/>
        <v>0.70000000000004547</v>
      </c>
      <c r="M50" s="116">
        <f t="shared" si="2"/>
        <v>31500</v>
      </c>
      <c r="N50" s="2" t="s">
        <v>205</v>
      </c>
    </row>
    <row r="51" spans="1:14" s="121" customFormat="1" ht="22.5" customHeight="1" x14ac:dyDescent="0.25">
      <c r="A51" s="113">
        <v>48</v>
      </c>
      <c r="B51" s="21" t="s">
        <v>201</v>
      </c>
      <c r="C51" s="115"/>
      <c r="D51" s="70"/>
      <c r="E51" s="116"/>
      <c r="F51" s="70">
        <v>6985.35</v>
      </c>
      <c r="G51" s="117">
        <v>48000</v>
      </c>
      <c r="H51" s="45">
        <f t="shared" si="3"/>
        <v>335296800</v>
      </c>
      <c r="I51" s="70">
        <v>6985.35</v>
      </c>
      <c r="J51" s="117">
        <v>49500</v>
      </c>
      <c r="K51" s="116">
        <f t="shared" si="0"/>
        <v>345774825</v>
      </c>
      <c r="L51" s="120">
        <f t="shared" si="1"/>
        <v>0</v>
      </c>
      <c r="M51" s="116">
        <f t="shared" si="2"/>
        <v>-10478025</v>
      </c>
      <c r="N51" s="2" t="s">
        <v>205</v>
      </c>
    </row>
    <row r="52" spans="1:14" s="121" customFormat="1" ht="22.5" customHeight="1" x14ac:dyDescent="0.25">
      <c r="A52" s="113">
        <v>49</v>
      </c>
      <c r="B52" s="114" t="s">
        <v>200</v>
      </c>
      <c r="C52" s="115"/>
      <c r="D52" s="70"/>
      <c r="E52" s="116"/>
      <c r="F52" s="70">
        <v>23248.7</v>
      </c>
      <c r="G52" s="117">
        <v>42500</v>
      </c>
      <c r="H52" s="45">
        <f t="shared" si="3"/>
        <v>988069750</v>
      </c>
      <c r="I52" s="70">
        <v>23248.7</v>
      </c>
      <c r="J52" s="117">
        <v>45000</v>
      </c>
      <c r="K52" s="116">
        <f t="shared" si="0"/>
        <v>1046191500</v>
      </c>
      <c r="L52" s="120">
        <f t="shared" si="1"/>
        <v>0</v>
      </c>
      <c r="M52" s="116">
        <f t="shared" si="2"/>
        <v>-58121750</v>
      </c>
      <c r="N52" s="2" t="s">
        <v>206</v>
      </c>
    </row>
    <row r="53" spans="1:14" s="1" customFormat="1" ht="22.5" customHeight="1" x14ac:dyDescent="0.2">
      <c r="A53" s="87"/>
      <c r="B53" s="87" t="s">
        <v>25</v>
      </c>
      <c r="C53" s="87"/>
      <c r="D53" s="88">
        <f t="shared" ref="D53:M53" si="4">SUM(D4:D52)</f>
        <v>413294.571</v>
      </c>
      <c r="E53" s="88">
        <f t="shared" si="4"/>
        <v>18229016369.52</v>
      </c>
      <c r="F53" s="88">
        <f t="shared" si="4"/>
        <v>73934.05</v>
      </c>
      <c r="G53" s="88">
        <f t="shared" si="4"/>
        <v>292000</v>
      </c>
      <c r="H53" s="88">
        <f t="shared" si="4"/>
        <v>3413766550</v>
      </c>
      <c r="I53" s="88">
        <f t="shared" si="4"/>
        <v>201563.23</v>
      </c>
      <c r="J53" s="88">
        <f t="shared" si="4"/>
        <v>1223540</v>
      </c>
      <c r="K53" s="88">
        <f t="shared" si="4"/>
        <v>9847018718</v>
      </c>
      <c r="L53" s="88">
        <f t="shared" si="4"/>
        <v>285665.391</v>
      </c>
      <c r="M53" s="88">
        <f t="shared" si="4"/>
        <v>11795764201.52</v>
      </c>
    </row>
  </sheetData>
  <autoFilter ref="A1:N5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7">
    <mergeCell ref="A1:M1"/>
    <mergeCell ref="A2:A3"/>
    <mergeCell ref="B2:B3"/>
    <mergeCell ref="D2:E2"/>
    <mergeCell ref="F2:H2"/>
    <mergeCell ref="I2:K2"/>
    <mergeCell ref="L2:M2"/>
  </mergeCells>
  <conditionalFormatting sqref="D11:D12 E4:E52 K4:M52">
    <cfRule type="expression" dxfId="0" priority="1">
      <formula>AND(($P4-TODAY())&lt;90,NOT(ISBLANK($P4)))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0"/>
  <sheetViews>
    <sheetView workbookViewId="0">
      <selection activeCell="J12" sqref="J12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4.5703125" style="2" customWidth="1"/>
    <col min="4" max="4" width="12.5703125" style="2" customWidth="1"/>
    <col min="5" max="5" width="7.7109375" style="2" customWidth="1"/>
    <col min="6" max="6" width="12" style="2" customWidth="1"/>
    <col min="7" max="7" width="16.140625" style="2" customWidth="1"/>
    <col min="8" max="8" width="12" style="2" customWidth="1"/>
    <col min="9" max="9" width="17.7109375" style="2" customWidth="1"/>
    <col min="10" max="10" width="12.5703125" style="2" customWidth="1"/>
    <col min="11" max="11" width="7.7109375" style="2" customWidth="1"/>
    <col min="12" max="12" width="28.42578125" style="2" customWidth="1"/>
    <col min="13" max="16384" width="9.140625" style="2"/>
  </cols>
  <sheetData>
    <row r="2" spans="1:13" x14ac:dyDescent="0.25">
      <c r="A2" s="1" t="s">
        <v>17</v>
      </c>
    </row>
    <row r="4" spans="1:13" x14ac:dyDescent="0.25">
      <c r="A4" s="125" t="s">
        <v>0</v>
      </c>
      <c r="B4" s="125" t="s">
        <v>18</v>
      </c>
      <c r="C4" s="18" t="s">
        <v>34</v>
      </c>
      <c r="D4" s="127" t="s">
        <v>33</v>
      </c>
      <c r="E4" s="128"/>
      <c r="F4" s="127" t="s">
        <v>21</v>
      </c>
      <c r="G4" s="128"/>
      <c r="H4" s="127" t="s">
        <v>22</v>
      </c>
      <c r="I4" s="128"/>
      <c r="J4" s="127" t="s">
        <v>23</v>
      </c>
      <c r="K4" s="128"/>
      <c r="L4" s="125" t="s">
        <v>24</v>
      </c>
    </row>
    <row r="5" spans="1:13" x14ac:dyDescent="0.25">
      <c r="A5" s="126"/>
      <c r="B5" s="126"/>
      <c r="C5" s="14"/>
      <c r="D5" s="5"/>
      <c r="E5" s="5"/>
      <c r="F5" s="5" t="s">
        <v>19</v>
      </c>
      <c r="G5" s="5" t="s">
        <v>20</v>
      </c>
      <c r="H5" s="5" t="s">
        <v>19</v>
      </c>
      <c r="I5" s="5" t="s">
        <v>20</v>
      </c>
      <c r="J5" s="5" t="s">
        <v>19</v>
      </c>
      <c r="K5" s="5" t="s">
        <v>20</v>
      </c>
      <c r="L5" s="126"/>
    </row>
    <row r="6" spans="1:13" x14ac:dyDescent="0.25">
      <c r="A6" s="4">
        <v>1</v>
      </c>
      <c r="B6" s="9" t="s">
        <v>1</v>
      </c>
      <c r="C6" s="9"/>
      <c r="D6" s="6">
        <v>4580.4000000000005</v>
      </c>
      <c r="E6" s="10"/>
      <c r="F6" s="10"/>
      <c r="G6" s="10"/>
      <c r="H6" s="10">
        <f>1045.84+357.77</f>
        <v>1403.61</v>
      </c>
      <c r="I6" s="10"/>
      <c r="J6" s="10">
        <f t="shared" ref="J6:J18" si="0">D6+F6-H6</f>
        <v>3176.7900000000009</v>
      </c>
      <c r="K6" s="10"/>
      <c r="L6" s="3"/>
      <c r="M6" s="2" t="s">
        <v>12</v>
      </c>
    </row>
    <row r="7" spans="1:13" x14ac:dyDescent="0.25">
      <c r="A7" s="4">
        <v>2</v>
      </c>
      <c r="B7" s="9" t="s">
        <v>2</v>
      </c>
      <c r="C7" s="9"/>
      <c r="D7" s="6">
        <v>5680.130000000001</v>
      </c>
      <c r="E7" s="6"/>
      <c r="F7" s="6"/>
      <c r="G7" s="6"/>
      <c r="H7" s="6">
        <v>1829.11</v>
      </c>
      <c r="I7" s="10"/>
      <c r="J7" s="10">
        <f t="shared" si="0"/>
        <v>3851.0200000000013</v>
      </c>
      <c r="K7" s="6"/>
      <c r="L7" s="3"/>
      <c r="M7" s="2" t="s">
        <v>12</v>
      </c>
    </row>
    <row r="8" spans="1:13" x14ac:dyDescent="0.25">
      <c r="A8" s="4">
        <v>3</v>
      </c>
      <c r="B8" s="9" t="s">
        <v>3</v>
      </c>
      <c r="C8" s="9"/>
      <c r="D8" s="6">
        <v>5922</v>
      </c>
      <c r="E8" s="6"/>
      <c r="F8" s="6"/>
      <c r="G8" s="6"/>
      <c r="H8" s="6">
        <f>225+315+315</f>
        <v>855</v>
      </c>
      <c r="I8" s="10"/>
      <c r="J8" s="10">
        <f t="shared" si="0"/>
        <v>5067</v>
      </c>
      <c r="K8" s="6"/>
      <c r="L8" s="3"/>
      <c r="M8" s="2" t="s">
        <v>12</v>
      </c>
    </row>
    <row r="9" spans="1:13" x14ac:dyDescent="0.25">
      <c r="A9" s="4">
        <v>4</v>
      </c>
      <c r="B9" s="3" t="s">
        <v>5</v>
      </c>
      <c r="C9" s="3"/>
      <c r="D9" s="6">
        <v>26526</v>
      </c>
      <c r="E9" s="6"/>
      <c r="F9" s="6"/>
      <c r="G9" s="6"/>
      <c r="I9" s="10"/>
      <c r="J9" s="10">
        <f t="shared" si="0"/>
        <v>26526</v>
      </c>
      <c r="K9" s="6"/>
      <c r="L9" s="3"/>
      <c r="M9" s="2" t="s">
        <v>13</v>
      </c>
    </row>
    <row r="10" spans="1:13" x14ac:dyDescent="0.25">
      <c r="A10" s="4">
        <v>5</v>
      </c>
      <c r="B10" s="3" t="s">
        <v>6</v>
      </c>
      <c r="C10" s="3"/>
      <c r="D10" s="6">
        <v>0</v>
      </c>
      <c r="E10" s="6"/>
      <c r="F10" s="6"/>
      <c r="G10" s="6"/>
      <c r="H10" s="6"/>
      <c r="I10" s="10"/>
      <c r="J10" s="10">
        <f t="shared" si="0"/>
        <v>0</v>
      </c>
      <c r="K10" s="6"/>
      <c r="L10" s="3"/>
      <c r="M10" s="2" t="s">
        <v>13</v>
      </c>
    </row>
    <row r="11" spans="1:13" x14ac:dyDescent="0.25">
      <c r="A11" s="4">
        <v>6</v>
      </c>
      <c r="B11" s="9" t="s">
        <v>7</v>
      </c>
      <c r="C11" s="9"/>
      <c r="D11" s="6">
        <v>18450</v>
      </c>
      <c r="E11" s="6"/>
      <c r="F11" s="6"/>
      <c r="G11" s="6"/>
      <c r="H11" s="6">
        <f>1000+800</f>
        <v>1800</v>
      </c>
      <c r="I11" s="10"/>
      <c r="J11" s="10">
        <f t="shared" si="0"/>
        <v>16650</v>
      </c>
      <c r="K11" s="6"/>
      <c r="L11" s="3"/>
      <c r="M11" s="2" t="s">
        <v>12</v>
      </c>
    </row>
    <row r="12" spans="1:13" x14ac:dyDescent="0.25">
      <c r="A12" s="4">
        <v>7</v>
      </c>
      <c r="B12" s="3" t="s">
        <v>8</v>
      </c>
      <c r="C12" s="3"/>
      <c r="D12" s="6">
        <v>4077.6800000000003</v>
      </c>
      <c r="E12" s="6"/>
      <c r="F12" s="6"/>
      <c r="G12" s="6"/>
      <c r="H12" s="6"/>
      <c r="I12" s="10"/>
      <c r="J12" s="10">
        <f t="shared" si="0"/>
        <v>4077.6800000000003</v>
      </c>
      <c r="K12" s="6"/>
      <c r="L12" s="3"/>
      <c r="M12" s="2" t="s">
        <v>14</v>
      </c>
    </row>
    <row r="13" spans="1:13" x14ac:dyDescent="0.25">
      <c r="A13" s="4">
        <v>8</v>
      </c>
      <c r="B13" s="3" t="s">
        <v>9</v>
      </c>
      <c r="C13" s="3"/>
      <c r="D13" s="6">
        <v>0</v>
      </c>
      <c r="E13" s="6"/>
      <c r="F13" s="6"/>
      <c r="G13" s="6"/>
      <c r="H13" s="6"/>
      <c r="I13" s="10"/>
      <c r="J13" s="10">
        <f t="shared" si="0"/>
        <v>0</v>
      </c>
      <c r="K13" s="6"/>
      <c r="L13" s="3"/>
      <c r="M13" s="2" t="s">
        <v>13</v>
      </c>
    </row>
    <row r="14" spans="1:13" x14ac:dyDescent="0.25">
      <c r="A14" s="4">
        <v>9</v>
      </c>
      <c r="B14" s="3" t="s">
        <v>10</v>
      </c>
      <c r="C14" s="3"/>
      <c r="D14" s="6">
        <v>45910.659999999996</v>
      </c>
      <c r="E14" s="6"/>
      <c r="F14" s="6"/>
      <c r="G14" s="6"/>
      <c r="H14" s="6"/>
      <c r="I14" s="10"/>
      <c r="J14" s="10">
        <f t="shared" si="0"/>
        <v>45910.659999999996</v>
      </c>
      <c r="K14" s="6"/>
      <c r="L14" s="3"/>
      <c r="M14" s="2" t="s">
        <v>15</v>
      </c>
    </row>
    <row r="15" spans="1:13" x14ac:dyDescent="0.25">
      <c r="A15" s="4">
        <v>10</v>
      </c>
      <c r="B15" s="3" t="s">
        <v>10</v>
      </c>
      <c r="C15" s="3"/>
      <c r="D15" s="6">
        <v>16041.68</v>
      </c>
      <c r="E15" s="6"/>
      <c r="G15" s="6"/>
      <c r="H15" s="6">
        <v>9398.36</v>
      </c>
      <c r="I15" s="10"/>
      <c r="J15" s="10">
        <f t="shared" si="0"/>
        <v>6643.32</v>
      </c>
      <c r="K15" s="6"/>
      <c r="L15" s="3"/>
      <c r="M15" s="2" t="s">
        <v>16</v>
      </c>
    </row>
    <row r="16" spans="1:13" x14ac:dyDescent="0.25">
      <c r="A16" s="4">
        <v>11</v>
      </c>
      <c r="B16" s="3" t="s">
        <v>10</v>
      </c>
      <c r="C16" s="3"/>
      <c r="D16" s="6">
        <v>23188.5</v>
      </c>
      <c r="E16" s="6"/>
      <c r="F16" s="6"/>
      <c r="G16" s="6"/>
      <c r="H16" s="6">
        <f>627.71+9297.25+12581.81+630.08</f>
        <v>23136.85</v>
      </c>
      <c r="I16" s="10"/>
      <c r="J16" s="10">
        <f t="shared" si="0"/>
        <v>51.650000000001455</v>
      </c>
      <c r="K16" s="6"/>
      <c r="L16" s="3"/>
      <c r="M16" s="2" t="s">
        <v>26</v>
      </c>
    </row>
    <row r="17" spans="1:13" x14ac:dyDescent="0.25">
      <c r="A17" s="4"/>
      <c r="B17" s="3" t="s">
        <v>10</v>
      </c>
      <c r="C17" s="3"/>
      <c r="D17" s="6">
        <v>24221.200000000001</v>
      </c>
      <c r="E17" s="6"/>
      <c r="F17" s="11"/>
      <c r="G17" s="6"/>
      <c r="H17" s="6">
        <f>3759.86</f>
        <v>3759.86</v>
      </c>
      <c r="I17" s="10"/>
      <c r="J17" s="10">
        <f t="shared" si="0"/>
        <v>20461.34</v>
      </c>
      <c r="K17" s="6"/>
      <c r="L17" s="3"/>
    </row>
    <row r="18" spans="1:13" x14ac:dyDescent="0.25">
      <c r="A18" s="4"/>
      <c r="B18" s="3" t="s">
        <v>29</v>
      </c>
      <c r="C18" s="19">
        <v>37500</v>
      </c>
      <c r="D18" s="13">
        <v>13061.400000000001</v>
      </c>
      <c r="E18" s="13"/>
      <c r="F18" s="6">
        <f>20590.3+20690.5</f>
        <v>41280.800000000003</v>
      </c>
      <c r="G18" s="13"/>
      <c r="H18" s="6">
        <f>9022.2+13675.8+14304.7</f>
        <v>37002.699999999997</v>
      </c>
      <c r="I18" s="10"/>
      <c r="J18" s="10">
        <f t="shared" si="0"/>
        <v>17339.500000000007</v>
      </c>
      <c r="K18" s="13"/>
      <c r="L18" s="3"/>
      <c r="M18" s="2" t="s">
        <v>30</v>
      </c>
    </row>
    <row r="19" spans="1:13" x14ac:dyDescent="0.25">
      <c r="A19" s="3"/>
      <c r="B19" s="7" t="s">
        <v>25</v>
      </c>
      <c r="C19" s="7"/>
      <c r="D19" s="8">
        <v>187659.65</v>
      </c>
      <c r="E19" s="8">
        <f t="shared" ref="E19:G19" si="1">SUM(E6:E17)</f>
        <v>0</v>
      </c>
      <c r="F19" s="8">
        <f>SUM(F6:F18)</f>
        <v>41280.800000000003</v>
      </c>
      <c r="G19" s="8">
        <f t="shared" si="1"/>
        <v>0</v>
      </c>
      <c r="H19" s="8">
        <f>SUM(H6:H18)</f>
        <v>79185.489999999991</v>
      </c>
      <c r="I19" s="8"/>
      <c r="J19" s="8">
        <f>SUM(J6:J18)</f>
        <v>149754.96</v>
      </c>
      <c r="K19" s="6"/>
      <c r="L19" s="3"/>
    </row>
    <row r="20" spans="1:13" x14ac:dyDescent="0.25">
      <c r="H20" s="12"/>
      <c r="J20" s="15">
        <f>D19+F19-H19</f>
        <v>149754.96000000002</v>
      </c>
      <c r="K20" s="16"/>
      <c r="L20" s="17"/>
    </row>
  </sheetData>
  <mergeCells count="7">
    <mergeCell ref="L4:L5"/>
    <mergeCell ref="A4:A5"/>
    <mergeCell ref="B4:B5"/>
    <mergeCell ref="D4:E4"/>
    <mergeCell ref="F4:G4"/>
    <mergeCell ref="H4:I4"/>
    <mergeCell ref="J4:K4"/>
  </mergeCells>
  <conditionalFormatting sqref="E6:K6 I7:J18">
    <cfRule type="expression" dxfId="22" priority="1">
      <formula>AND(($O6-TODAY())&lt;90,NOT(ISBLANK($O6)))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4"/>
  <sheetViews>
    <sheetView workbookViewId="0">
      <selection activeCell="A11" sqref="A11:XFD11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4.5703125" style="2" customWidth="1"/>
    <col min="4" max="4" width="12.5703125" style="2" customWidth="1"/>
    <col min="5" max="5" width="7.7109375" style="2" customWidth="1"/>
    <col min="6" max="6" width="12" style="2" customWidth="1"/>
    <col min="7" max="7" width="16.140625" style="2" customWidth="1"/>
    <col min="8" max="8" width="12" style="2" customWidth="1"/>
    <col min="9" max="9" width="17.7109375" style="2" customWidth="1"/>
    <col min="10" max="10" width="12.5703125" style="2" customWidth="1"/>
    <col min="11" max="11" width="7.7109375" style="2" customWidth="1"/>
    <col min="12" max="12" width="28.42578125" style="2" customWidth="1"/>
    <col min="13" max="16384" width="9.140625" style="2"/>
  </cols>
  <sheetData>
    <row r="2" spans="1:13" x14ac:dyDescent="0.25">
      <c r="A2" s="1" t="s">
        <v>17</v>
      </c>
    </row>
    <row r="4" spans="1:13" x14ac:dyDescent="0.25">
      <c r="A4" s="125" t="s">
        <v>0</v>
      </c>
      <c r="B4" s="125" t="s">
        <v>18</v>
      </c>
      <c r="C4" s="18" t="s">
        <v>34</v>
      </c>
      <c r="D4" s="127" t="s">
        <v>33</v>
      </c>
      <c r="E4" s="128"/>
      <c r="F4" s="127" t="s">
        <v>21</v>
      </c>
      <c r="G4" s="128"/>
      <c r="H4" s="127" t="s">
        <v>22</v>
      </c>
      <c r="I4" s="128"/>
      <c r="J4" s="127" t="s">
        <v>23</v>
      </c>
      <c r="K4" s="128"/>
      <c r="L4" s="125" t="s">
        <v>24</v>
      </c>
    </row>
    <row r="5" spans="1:13" x14ac:dyDescent="0.25">
      <c r="A5" s="126"/>
      <c r="B5" s="126"/>
      <c r="C5" s="14"/>
      <c r="D5" s="5"/>
      <c r="E5" s="5"/>
      <c r="F5" s="5" t="s">
        <v>19</v>
      </c>
      <c r="G5" s="5" t="s">
        <v>20</v>
      </c>
      <c r="H5" s="5" t="s">
        <v>19</v>
      </c>
      <c r="I5" s="5" t="s">
        <v>20</v>
      </c>
      <c r="J5" s="5" t="s">
        <v>19</v>
      </c>
      <c r="K5" s="5" t="s">
        <v>20</v>
      </c>
      <c r="L5" s="126"/>
    </row>
    <row r="6" spans="1:13" x14ac:dyDescent="0.25">
      <c r="A6" s="4">
        <v>1</v>
      </c>
      <c r="B6" s="9" t="s">
        <v>1</v>
      </c>
      <c r="C6" s="9"/>
      <c r="D6" s="6">
        <v>3176.7900000000009</v>
      </c>
      <c r="E6" s="10"/>
      <c r="F6" s="10"/>
      <c r="G6" s="10"/>
      <c r="H6" s="10"/>
      <c r="I6" s="10"/>
      <c r="J6" s="10">
        <f t="shared" ref="J6:J18" si="0">D6+F6-H6</f>
        <v>3176.7900000000009</v>
      </c>
      <c r="K6" s="10"/>
      <c r="L6" s="3"/>
      <c r="M6" s="2" t="s">
        <v>12</v>
      </c>
    </row>
    <row r="7" spans="1:13" x14ac:dyDescent="0.25">
      <c r="A7" s="4">
        <v>2</v>
      </c>
      <c r="B7" s="9" t="s">
        <v>2</v>
      </c>
      <c r="C7" s="9"/>
      <c r="D7" s="6">
        <v>3851.0200000000013</v>
      </c>
      <c r="E7" s="6"/>
      <c r="F7" s="6"/>
      <c r="G7" s="6"/>
      <c r="H7" s="6"/>
      <c r="I7" s="10"/>
      <c r="J7" s="10">
        <f t="shared" si="0"/>
        <v>3851.0200000000013</v>
      </c>
      <c r="K7" s="6"/>
      <c r="L7" s="3"/>
      <c r="M7" s="2" t="s">
        <v>12</v>
      </c>
    </row>
    <row r="8" spans="1:13" x14ac:dyDescent="0.25">
      <c r="A8" s="4">
        <v>3</v>
      </c>
      <c r="B8" s="9" t="s">
        <v>3</v>
      </c>
      <c r="C8" s="9"/>
      <c r="D8" s="6">
        <v>5067</v>
      </c>
      <c r="E8" s="6"/>
      <c r="F8" s="6"/>
      <c r="G8" s="6"/>
      <c r="H8" s="6"/>
      <c r="I8" s="10"/>
      <c r="J8" s="10">
        <f t="shared" si="0"/>
        <v>5067</v>
      </c>
      <c r="K8" s="6"/>
      <c r="L8" s="3"/>
      <c r="M8" s="2" t="s">
        <v>12</v>
      </c>
    </row>
    <row r="9" spans="1:13" x14ac:dyDescent="0.25">
      <c r="A9" s="4">
        <v>4</v>
      </c>
      <c r="B9" s="3" t="s">
        <v>5</v>
      </c>
      <c r="C9" s="3"/>
      <c r="D9" s="6">
        <v>26526</v>
      </c>
      <c r="E9" s="6"/>
      <c r="F9" s="6"/>
      <c r="G9" s="6"/>
      <c r="I9" s="10"/>
      <c r="J9" s="10">
        <f t="shared" si="0"/>
        <v>26526</v>
      </c>
      <c r="K9" s="6"/>
      <c r="L9" s="3"/>
      <c r="M9" s="2" t="s">
        <v>13</v>
      </c>
    </row>
    <row r="10" spans="1:13" x14ac:dyDescent="0.25">
      <c r="A10" s="4">
        <v>5</v>
      </c>
      <c r="B10" s="3" t="s">
        <v>6</v>
      </c>
      <c r="C10" s="3"/>
      <c r="D10" s="6">
        <v>0</v>
      </c>
      <c r="E10" s="6"/>
      <c r="F10" s="6"/>
      <c r="G10" s="6"/>
      <c r="H10" s="6"/>
      <c r="I10" s="10"/>
      <c r="J10" s="10">
        <f t="shared" si="0"/>
        <v>0</v>
      </c>
      <c r="K10" s="6"/>
      <c r="L10" s="3"/>
      <c r="M10" s="2" t="s">
        <v>13</v>
      </c>
    </row>
    <row r="11" spans="1:13" x14ac:dyDescent="0.25">
      <c r="A11" s="4">
        <v>6</v>
      </c>
      <c r="B11" s="9" t="s">
        <v>7</v>
      </c>
      <c r="C11" s="9"/>
      <c r="D11" s="6">
        <v>16650</v>
      </c>
      <c r="E11" s="6"/>
      <c r="F11" s="6"/>
      <c r="G11" s="6"/>
      <c r="H11" s="6"/>
      <c r="I11" s="10"/>
      <c r="J11" s="10">
        <f t="shared" si="0"/>
        <v>16650</v>
      </c>
      <c r="K11" s="6"/>
      <c r="L11" s="3"/>
      <c r="M11" s="2" t="s">
        <v>12</v>
      </c>
    </row>
    <row r="12" spans="1:13" x14ac:dyDescent="0.25">
      <c r="A12" s="4">
        <v>7</v>
      </c>
      <c r="B12" s="3" t="s">
        <v>8</v>
      </c>
      <c r="C12" s="3"/>
      <c r="D12" s="6">
        <v>4077.6800000000003</v>
      </c>
      <c r="E12" s="6"/>
      <c r="F12" s="6"/>
      <c r="G12" s="6"/>
      <c r="H12" s="6"/>
      <c r="I12" s="10"/>
      <c r="J12" s="10">
        <f t="shared" si="0"/>
        <v>4077.6800000000003</v>
      </c>
      <c r="K12" s="6"/>
      <c r="L12" s="3"/>
      <c r="M12" s="2" t="s">
        <v>14</v>
      </c>
    </row>
    <row r="13" spans="1:13" x14ac:dyDescent="0.25">
      <c r="A13" s="4">
        <v>8</v>
      </c>
      <c r="B13" s="3" t="s">
        <v>9</v>
      </c>
      <c r="C13" s="3"/>
      <c r="D13" s="6">
        <v>0</v>
      </c>
      <c r="E13" s="6"/>
      <c r="F13" s="6"/>
      <c r="G13" s="6"/>
      <c r="H13" s="6"/>
      <c r="I13" s="10"/>
      <c r="J13" s="10">
        <f t="shared" si="0"/>
        <v>0</v>
      </c>
      <c r="K13" s="6"/>
      <c r="L13" s="3"/>
      <c r="M13" s="2" t="s">
        <v>13</v>
      </c>
    </row>
    <row r="14" spans="1:13" x14ac:dyDescent="0.25">
      <c r="A14" s="4">
        <v>9</v>
      </c>
      <c r="B14" s="3" t="s">
        <v>10</v>
      </c>
      <c r="C14" s="3"/>
      <c r="D14" s="6">
        <v>45910.659999999996</v>
      </c>
      <c r="E14" s="6"/>
      <c r="F14" s="6"/>
      <c r="G14" s="6"/>
      <c r="H14" s="6"/>
      <c r="I14" s="10"/>
      <c r="J14" s="10">
        <f t="shared" si="0"/>
        <v>45910.659999999996</v>
      </c>
      <c r="K14" s="6"/>
      <c r="L14" s="3"/>
      <c r="M14" s="2" t="s">
        <v>15</v>
      </c>
    </row>
    <row r="15" spans="1:13" x14ac:dyDescent="0.25">
      <c r="A15" s="4">
        <v>10</v>
      </c>
      <c r="B15" s="3" t="s">
        <v>10</v>
      </c>
      <c r="C15" s="3"/>
      <c r="D15" s="6">
        <v>6643.32</v>
      </c>
      <c r="E15" s="6"/>
      <c r="G15" s="6"/>
      <c r="H15" s="6"/>
      <c r="I15" s="10"/>
      <c r="J15" s="10">
        <f t="shared" si="0"/>
        <v>6643.32</v>
      </c>
      <c r="K15" s="6"/>
      <c r="L15" s="3"/>
      <c r="M15" s="2" t="s">
        <v>16</v>
      </c>
    </row>
    <row r="16" spans="1:13" x14ac:dyDescent="0.25">
      <c r="A16" s="4">
        <v>11</v>
      </c>
      <c r="B16" s="3" t="s">
        <v>10</v>
      </c>
      <c r="C16" s="3"/>
      <c r="D16" s="6">
        <v>51.650000000001455</v>
      </c>
      <c r="E16" s="6"/>
      <c r="F16" s="6"/>
      <c r="G16" s="6"/>
      <c r="H16" s="6"/>
      <c r="I16" s="10"/>
      <c r="J16" s="10">
        <f t="shared" si="0"/>
        <v>51.650000000001455</v>
      </c>
      <c r="K16" s="6"/>
      <c r="L16" s="3"/>
      <c r="M16" s="2" t="s">
        <v>26</v>
      </c>
    </row>
    <row r="17" spans="1:13" x14ac:dyDescent="0.25">
      <c r="A17" s="4"/>
      <c r="B17" s="3" t="s">
        <v>10</v>
      </c>
      <c r="C17" s="3"/>
      <c r="D17" s="6">
        <v>20461.34</v>
      </c>
      <c r="E17" s="6"/>
      <c r="F17" s="11"/>
      <c r="G17" s="6"/>
      <c r="H17" s="6"/>
      <c r="I17" s="10"/>
      <c r="J17" s="10">
        <f t="shared" si="0"/>
        <v>20461.34</v>
      </c>
      <c r="K17" s="6"/>
      <c r="L17" s="3"/>
    </row>
    <row r="18" spans="1:13" x14ac:dyDescent="0.25">
      <c r="A18" s="4"/>
      <c r="B18" s="3" t="s">
        <v>29</v>
      </c>
      <c r="C18" s="19">
        <v>37500</v>
      </c>
      <c r="D18" s="13">
        <v>17339.500000000007</v>
      </c>
      <c r="E18" s="13"/>
      <c r="F18" s="6"/>
      <c r="G18" s="13"/>
      <c r="H18" s="6"/>
      <c r="I18" s="10"/>
      <c r="J18" s="10">
        <f t="shared" si="0"/>
        <v>17339.500000000007</v>
      </c>
      <c r="K18" s="13"/>
      <c r="L18" s="3"/>
      <c r="M18" s="2" t="s">
        <v>30</v>
      </c>
    </row>
    <row r="19" spans="1:13" x14ac:dyDescent="0.25">
      <c r="A19" s="3"/>
      <c r="B19" s="7" t="s">
        <v>25</v>
      </c>
      <c r="C19" s="7"/>
      <c r="D19" s="8">
        <v>149754.96</v>
      </c>
      <c r="E19" s="8">
        <f t="shared" ref="E19:G19" si="1">SUM(E6:E17)</f>
        <v>0</v>
      </c>
      <c r="F19" s="8">
        <f>SUM(F6:F18)</f>
        <v>0</v>
      </c>
      <c r="G19" s="8">
        <f t="shared" si="1"/>
        <v>0</v>
      </c>
      <c r="H19" s="8">
        <f>SUM(H6:H18)</f>
        <v>0</v>
      </c>
      <c r="I19" s="8"/>
      <c r="J19" s="8">
        <f>SUM(J6:J18)</f>
        <v>149754.96</v>
      </c>
      <c r="K19" s="6"/>
      <c r="L19" s="3"/>
    </row>
    <row r="20" spans="1:13" x14ac:dyDescent="0.25">
      <c r="H20" s="12"/>
      <c r="J20" s="15">
        <f>D19+F19-H19</f>
        <v>149754.96</v>
      </c>
      <c r="K20" s="16"/>
      <c r="L20" s="17"/>
    </row>
    <row r="22" spans="1:13" x14ac:dyDescent="0.25">
      <c r="B22" s="3" t="s">
        <v>5</v>
      </c>
      <c r="C22" s="3"/>
      <c r="D22" s="3">
        <v>27113.08</v>
      </c>
      <c r="F22" s="3" t="s">
        <v>35</v>
      </c>
      <c r="G22" s="3" t="s">
        <v>36</v>
      </c>
    </row>
    <row r="23" spans="1:13" x14ac:dyDescent="0.25">
      <c r="B23" s="3" t="s">
        <v>5</v>
      </c>
      <c r="C23" s="3"/>
      <c r="D23" s="3">
        <v>27988.03</v>
      </c>
      <c r="F23" s="3" t="s">
        <v>35</v>
      </c>
      <c r="G23" s="3" t="s">
        <v>36</v>
      </c>
    </row>
    <row r="24" spans="1:13" x14ac:dyDescent="0.25">
      <c r="B24" s="3" t="s">
        <v>29</v>
      </c>
      <c r="C24" s="3"/>
      <c r="D24" s="20"/>
      <c r="F24" s="3" t="s">
        <v>37</v>
      </c>
      <c r="G24" s="3" t="s">
        <v>38</v>
      </c>
    </row>
  </sheetData>
  <autoFilter ref="A5:M20"/>
  <mergeCells count="7">
    <mergeCell ref="L4:L5"/>
    <mergeCell ref="A4:A5"/>
    <mergeCell ref="B4:B5"/>
    <mergeCell ref="D4:E4"/>
    <mergeCell ref="F4:G4"/>
    <mergeCell ref="H4:I4"/>
    <mergeCell ref="J4:K4"/>
  </mergeCells>
  <phoneticPr fontId="7" type="noConversion"/>
  <conditionalFormatting sqref="E6:K6 I7:J18">
    <cfRule type="expression" dxfId="21" priority="1">
      <formula>AND(($O6-TODAY())&lt;90,NOT(ISBLANK($O6)))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workbookViewId="0">
      <selection activeCell="A12" sqref="A12:XFD12"/>
    </sheetView>
  </sheetViews>
  <sheetFormatPr defaultRowHeight="15" x14ac:dyDescent="0.25"/>
  <cols>
    <col min="2" max="2" width="33.5703125" customWidth="1"/>
    <col min="3" max="3" width="9.5703125" customWidth="1"/>
    <col min="4" max="4" width="14.140625" customWidth="1"/>
    <col min="5" max="5" width="13" customWidth="1"/>
    <col min="6" max="6" width="12.42578125" customWidth="1"/>
    <col min="8" max="8" width="11.85546875" customWidth="1"/>
    <col min="10" max="10" width="14.140625" customWidth="1"/>
    <col min="13" max="13" width="24.285156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125" t="s">
        <v>0</v>
      </c>
      <c r="B5" s="125" t="s">
        <v>18</v>
      </c>
      <c r="C5" s="18" t="s">
        <v>34</v>
      </c>
      <c r="D5" s="127" t="s">
        <v>33</v>
      </c>
      <c r="E5" s="128"/>
      <c r="F5" s="127" t="s">
        <v>21</v>
      </c>
      <c r="G5" s="128"/>
      <c r="H5" s="127" t="s">
        <v>22</v>
      </c>
      <c r="I5" s="128"/>
      <c r="J5" s="127" t="s">
        <v>23</v>
      </c>
      <c r="K5" s="128"/>
      <c r="L5" s="125" t="s">
        <v>24</v>
      </c>
    </row>
    <row r="6" spans="1:13" s="2" customFormat="1" x14ac:dyDescent="0.25">
      <c r="A6" s="126"/>
      <c r="B6" s="126"/>
      <c r="C6" s="14"/>
      <c r="D6" s="5"/>
      <c r="E6" s="5"/>
      <c r="F6" s="5" t="s">
        <v>19</v>
      </c>
      <c r="G6" s="5" t="s">
        <v>20</v>
      </c>
      <c r="H6" s="5" t="s">
        <v>19</v>
      </c>
      <c r="I6" s="5" t="s">
        <v>20</v>
      </c>
      <c r="J6" s="5" t="s">
        <v>19</v>
      </c>
      <c r="K6" s="5" t="s">
        <v>20</v>
      </c>
      <c r="L6" s="126"/>
    </row>
    <row r="7" spans="1:13" s="2" customFormat="1" x14ac:dyDescent="0.25">
      <c r="A7" s="23">
        <v>1</v>
      </c>
      <c r="B7" s="21" t="s">
        <v>1</v>
      </c>
      <c r="C7" s="21"/>
      <c r="D7" s="6">
        <v>3176.7900000000009</v>
      </c>
      <c r="E7" s="10"/>
      <c r="F7" s="10"/>
      <c r="G7" s="10"/>
      <c r="H7" s="10">
        <v>445.27</v>
      </c>
      <c r="I7" s="10"/>
      <c r="J7" s="10">
        <f t="shared" ref="J7:J22" si="0">D7+F7-H7</f>
        <v>2731.5200000000009</v>
      </c>
      <c r="K7" s="10"/>
      <c r="L7" s="3"/>
      <c r="M7" s="17" t="s">
        <v>41</v>
      </c>
    </row>
    <row r="8" spans="1:13" s="29" customFormat="1" x14ac:dyDescent="0.25">
      <c r="A8" s="23">
        <v>2</v>
      </c>
      <c r="B8" s="21" t="s">
        <v>2</v>
      </c>
      <c r="C8" s="21"/>
      <c r="D8" s="22">
        <v>2524.66</v>
      </c>
      <c r="E8" s="22"/>
      <c r="F8" s="22"/>
      <c r="G8" s="22"/>
      <c r="H8" s="22">
        <f>2005.7+506.6</f>
        <v>2512.3000000000002</v>
      </c>
      <c r="I8" s="28"/>
      <c r="J8" s="28">
        <f t="shared" si="0"/>
        <v>12.359999999999673</v>
      </c>
      <c r="K8" s="22"/>
      <c r="L8" s="21"/>
      <c r="M8" s="29" t="s">
        <v>41</v>
      </c>
    </row>
    <row r="9" spans="1:13" s="29" customFormat="1" x14ac:dyDescent="0.25">
      <c r="A9" s="23">
        <v>3</v>
      </c>
      <c r="B9" s="21" t="s">
        <v>3</v>
      </c>
      <c r="C9" s="21"/>
      <c r="D9" s="22">
        <v>5067</v>
      </c>
      <c r="E9" s="22"/>
      <c r="F9" s="22"/>
      <c r="G9" s="22"/>
      <c r="H9" s="22"/>
      <c r="I9" s="28"/>
      <c r="J9" s="28">
        <f t="shared" si="0"/>
        <v>5067</v>
      </c>
      <c r="K9" s="22"/>
      <c r="L9" s="21"/>
      <c r="M9" s="29" t="s">
        <v>41</v>
      </c>
    </row>
    <row r="10" spans="1:13" s="29" customFormat="1" x14ac:dyDescent="0.25">
      <c r="A10" s="23">
        <v>4</v>
      </c>
      <c r="B10" s="21" t="s">
        <v>5</v>
      </c>
      <c r="C10" s="21"/>
      <c r="D10" s="22">
        <v>26526</v>
      </c>
      <c r="E10" s="22"/>
      <c r="F10" s="22"/>
      <c r="G10" s="22"/>
      <c r="I10" s="28"/>
      <c r="J10" s="28">
        <f t="shared" si="0"/>
        <v>26526</v>
      </c>
      <c r="K10" s="22"/>
      <c r="L10" s="21"/>
      <c r="M10" s="29" t="s">
        <v>39</v>
      </c>
    </row>
    <row r="11" spans="1:13" s="29" customFormat="1" x14ac:dyDescent="0.25">
      <c r="A11" s="23">
        <v>5</v>
      </c>
      <c r="B11" s="21" t="s">
        <v>6</v>
      </c>
      <c r="C11" s="21"/>
      <c r="D11" s="22">
        <v>0</v>
      </c>
      <c r="E11" s="22"/>
      <c r="F11" s="22"/>
      <c r="G11" s="22"/>
      <c r="H11" s="22"/>
      <c r="I11" s="28"/>
      <c r="J11" s="28">
        <f t="shared" si="0"/>
        <v>0</v>
      </c>
      <c r="K11" s="22"/>
      <c r="L11" s="21"/>
      <c r="M11" s="29" t="s">
        <v>13</v>
      </c>
    </row>
    <row r="12" spans="1:13" s="29" customFormat="1" x14ac:dyDescent="0.25">
      <c r="A12" s="23">
        <v>6</v>
      </c>
      <c r="B12" s="21" t="s">
        <v>7</v>
      </c>
      <c r="C12" s="21"/>
      <c r="D12" s="22">
        <v>15450</v>
      </c>
      <c r="E12" s="22"/>
      <c r="F12" s="22"/>
      <c r="G12" s="22"/>
      <c r="H12" s="22">
        <f>600+600</f>
        <v>1200</v>
      </c>
      <c r="I12" s="28"/>
      <c r="J12" s="28">
        <f t="shared" si="0"/>
        <v>14250</v>
      </c>
      <c r="K12" s="22"/>
      <c r="L12" s="21"/>
      <c r="M12" s="29" t="s">
        <v>41</v>
      </c>
    </row>
    <row r="13" spans="1:13" s="29" customFormat="1" x14ac:dyDescent="0.25">
      <c r="A13" s="23">
        <v>7</v>
      </c>
      <c r="B13" s="21" t="s">
        <v>8</v>
      </c>
      <c r="C13" s="21"/>
      <c r="D13" s="22">
        <v>4259.7099999999991</v>
      </c>
      <c r="E13" s="22"/>
      <c r="F13" s="22"/>
      <c r="G13" s="22"/>
      <c r="H13" s="22"/>
      <c r="I13" s="28"/>
      <c r="J13" s="28">
        <f t="shared" si="0"/>
        <v>4259.7099999999991</v>
      </c>
      <c r="K13" s="22"/>
      <c r="L13" s="21"/>
      <c r="M13" s="29" t="s">
        <v>14</v>
      </c>
    </row>
    <row r="14" spans="1:13" s="2" customFormat="1" x14ac:dyDescent="0.25">
      <c r="A14" s="23">
        <v>8</v>
      </c>
      <c r="B14" s="3" t="s">
        <v>9</v>
      </c>
      <c r="C14" s="3"/>
      <c r="D14" s="6">
        <v>0</v>
      </c>
      <c r="E14" s="6"/>
      <c r="F14" s="6"/>
      <c r="G14" s="6"/>
      <c r="H14" s="6"/>
      <c r="I14" s="10"/>
      <c r="J14" s="10">
        <f t="shared" si="0"/>
        <v>0</v>
      </c>
      <c r="K14" s="6"/>
      <c r="L14" s="3"/>
      <c r="M14" s="2" t="s">
        <v>13</v>
      </c>
    </row>
    <row r="15" spans="1:13" s="2" customFormat="1" x14ac:dyDescent="0.25">
      <c r="A15" s="23">
        <v>9</v>
      </c>
      <c r="B15" s="3" t="s">
        <v>10</v>
      </c>
      <c r="C15" s="3"/>
      <c r="D15" s="6"/>
      <c r="E15" s="6"/>
      <c r="F15" s="6"/>
      <c r="G15" s="6"/>
      <c r="H15" s="6"/>
      <c r="I15" s="10"/>
      <c r="J15" s="10">
        <f t="shared" si="0"/>
        <v>0</v>
      </c>
      <c r="K15" s="6"/>
      <c r="L15" s="3"/>
      <c r="M15" s="2" t="s">
        <v>15</v>
      </c>
    </row>
    <row r="16" spans="1:13" s="2" customFormat="1" x14ac:dyDescent="0.25">
      <c r="A16" s="23">
        <v>10</v>
      </c>
      <c r="B16" s="3" t="s">
        <v>10</v>
      </c>
      <c r="C16" s="3"/>
      <c r="D16" s="6"/>
      <c r="E16" s="6"/>
      <c r="G16" s="6"/>
      <c r="H16" s="6"/>
      <c r="I16" s="10"/>
      <c r="J16" s="10">
        <f t="shared" si="0"/>
        <v>0</v>
      </c>
      <c r="K16" s="6"/>
      <c r="L16" s="3"/>
      <c r="M16" s="2" t="s">
        <v>16</v>
      </c>
    </row>
    <row r="17" spans="1:13" s="2" customFormat="1" x14ac:dyDescent="0.25">
      <c r="A17" s="23">
        <v>11</v>
      </c>
      <c r="B17" s="3" t="s">
        <v>10</v>
      </c>
      <c r="C17" s="3"/>
      <c r="D17" s="6">
        <v>24203.3</v>
      </c>
      <c r="E17" s="6"/>
      <c r="F17" s="6"/>
      <c r="G17" s="6"/>
      <c r="H17" s="6">
        <f>11513.4+1872.61</f>
        <v>13386.01</v>
      </c>
      <c r="I17" s="10"/>
      <c r="J17" s="10">
        <f t="shared" si="0"/>
        <v>10817.289999999999</v>
      </c>
      <c r="K17" s="6"/>
      <c r="L17" s="3"/>
      <c r="M17" s="2" t="s">
        <v>40</v>
      </c>
    </row>
    <row r="18" spans="1:13" s="2" customFormat="1" x14ac:dyDescent="0.25">
      <c r="A18" s="23">
        <v>12</v>
      </c>
      <c r="B18" s="3" t="s">
        <v>10</v>
      </c>
      <c r="C18" s="3"/>
      <c r="D18" s="6">
        <v>18265.46</v>
      </c>
      <c r="E18" s="6"/>
      <c r="F18" s="11"/>
      <c r="G18" s="6"/>
      <c r="H18" s="6">
        <f>11645.9+1878.09</f>
        <v>13523.99</v>
      </c>
      <c r="I18" s="10"/>
      <c r="J18" s="10">
        <f t="shared" si="0"/>
        <v>4741.4699999999993</v>
      </c>
      <c r="K18" s="6"/>
      <c r="L18" s="3"/>
      <c r="M18" s="17" t="s">
        <v>41</v>
      </c>
    </row>
    <row r="19" spans="1:13" s="2" customFormat="1" x14ac:dyDescent="0.25">
      <c r="A19" s="23">
        <v>13</v>
      </c>
      <c r="B19" s="3" t="s">
        <v>29</v>
      </c>
      <c r="C19" s="19">
        <v>37500</v>
      </c>
      <c r="D19" s="13">
        <v>17339.500000000007</v>
      </c>
      <c r="E19" s="13"/>
      <c r="F19" s="6">
        <f>21742.3</f>
        <v>21742.3</v>
      </c>
      <c r="G19" s="13"/>
      <c r="H19" s="6">
        <f>13884.1+9894.4</f>
        <v>23778.5</v>
      </c>
      <c r="I19" s="10"/>
      <c r="J19" s="33">
        <f t="shared" si="0"/>
        <v>15303.300000000003</v>
      </c>
      <c r="K19" s="13"/>
      <c r="L19" s="3"/>
      <c r="M19" s="17" t="s">
        <v>42</v>
      </c>
    </row>
    <row r="20" spans="1:13" s="2" customFormat="1" x14ac:dyDescent="0.25">
      <c r="A20" s="23">
        <v>14</v>
      </c>
      <c r="B20" s="3" t="s">
        <v>5</v>
      </c>
      <c r="C20" s="19"/>
      <c r="D20" s="13">
        <v>27113.08</v>
      </c>
      <c r="E20" s="13"/>
      <c r="F20" s="6"/>
      <c r="G20" s="13"/>
      <c r="H20" s="6"/>
      <c r="I20" s="10"/>
      <c r="J20" s="10">
        <f t="shared" si="0"/>
        <v>27113.08</v>
      </c>
      <c r="K20" s="13"/>
      <c r="L20" s="3"/>
      <c r="M20" s="2" t="s">
        <v>43</v>
      </c>
    </row>
    <row r="21" spans="1:13" s="2" customFormat="1" x14ac:dyDescent="0.25">
      <c r="A21" s="23">
        <v>15</v>
      </c>
      <c r="B21" s="3" t="s">
        <v>5</v>
      </c>
      <c r="C21" s="19"/>
      <c r="D21" s="13">
        <v>27988.03</v>
      </c>
      <c r="E21" s="13"/>
      <c r="F21" s="6"/>
      <c r="G21" s="13"/>
      <c r="H21" s="6"/>
      <c r="I21" s="10"/>
      <c r="J21" s="10">
        <f t="shared" si="0"/>
        <v>27988.03</v>
      </c>
      <c r="K21" s="13"/>
      <c r="L21" s="3"/>
      <c r="M21" s="2" t="s">
        <v>43</v>
      </c>
    </row>
    <row r="22" spans="1:13" s="2" customFormat="1" x14ac:dyDescent="0.25">
      <c r="A22" s="23">
        <v>16</v>
      </c>
      <c r="B22" s="3" t="s">
        <v>29</v>
      </c>
      <c r="C22" s="19"/>
      <c r="D22" s="13"/>
      <c r="E22" s="13"/>
      <c r="F22" s="6"/>
      <c r="G22" s="13"/>
      <c r="H22" s="6"/>
      <c r="I22" s="10"/>
      <c r="J22" s="10">
        <f t="shared" si="0"/>
        <v>0</v>
      </c>
      <c r="K22" s="13"/>
      <c r="L22" s="3"/>
      <c r="M22" s="2" t="s">
        <v>44</v>
      </c>
    </row>
    <row r="23" spans="1:13" s="2" customFormat="1" x14ac:dyDescent="0.25">
      <c r="A23" s="3"/>
      <c r="B23" s="7" t="s">
        <v>25</v>
      </c>
      <c r="C23" s="7"/>
      <c r="D23" s="8">
        <f>SUM(D7:D22)</f>
        <v>171913.53</v>
      </c>
      <c r="E23" s="8">
        <f t="shared" ref="E23:G23" si="1">SUM(E7:E18)</f>
        <v>0</v>
      </c>
      <c r="F23" s="8">
        <f>SUM(F7:F19)</f>
        <v>21742.3</v>
      </c>
      <c r="G23" s="8">
        <f t="shared" si="1"/>
        <v>0</v>
      </c>
      <c r="H23" s="8">
        <f>SUM(H7:H19)</f>
        <v>54846.07</v>
      </c>
      <c r="I23" s="8"/>
      <c r="J23" s="8">
        <f>SUM(J7:J22)</f>
        <v>138809.76</v>
      </c>
      <c r="K23" s="6"/>
      <c r="L23" s="3"/>
    </row>
    <row r="24" spans="1:13" x14ac:dyDescent="0.25">
      <c r="D24" s="24"/>
      <c r="J24" s="24">
        <f>D23+F23-H23</f>
        <v>138809.75999999998</v>
      </c>
    </row>
    <row r="26" spans="1:13" x14ac:dyDescent="0.25">
      <c r="H26" s="24"/>
    </row>
  </sheetData>
  <autoFilter ref="A6:M27"/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K7 I8:J22">
    <cfRule type="expression" dxfId="20" priority="1">
      <formula>AND(($O7-TODAY())&lt;90,NOT(ISBLANK($O7)))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37"/>
  <sheetViews>
    <sheetView workbookViewId="0">
      <selection activeCell="E17" sqref="E17"/>
    </sheetView>
  </sheetViews>
  <sheetFormatPr defaultRowHeight="15" x14ac:dyDescent="0.25"/>
  <cols>
    <col min="2" max="2" width="55.28515625" customWidth="1"/>
    <col min="3" max="3" width="9.5703125" customWidth="1"/>
    <col min="4" max="4" width="14.140625" customWidth="1"/>
    <col min="5" max="5" width="12.7109375" customWidth="1"/>
    <col min="6" max="6" width="12.42578125" customWidth="1"/>
    <col min="7" max="7" width="12.140625" customWidth="1"/>
    <col min="8" max="8" width="11.85546875" customWidth="1"/>
    <col min="10" max="10" width="14.140625" customWidth="1"/>
    <col min="12" max="12" width="10.42578125" bestFit="1" customWidth="1"/>
    <col min="13" max="13" width="24.285156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125" t="s">
        <v>0</v>
      </c>
      <c r="B5" s="125" t="s">
        <v>18</v>
      </c>
      <c r="C5" s="18" t="s">
        <v>34</v>
      </c>
      <c r="D5" s="127" t="s">
        <v>33</v>
      </c>
      <c r="E5" s="128"/>
      <c r="F5" s="127" t="s">
        <v>21</v>
      </c>
      <c r="G5" s="128"/>
      <c r="H5" s="127" t="s">
        <v>22</v>
      </c>
      <c r="I5" s="128"/>
      <c r="J5" s="127" t="s">
        <v>23</v>
      </c>
      <c r="K5" s="128"/>
      <c r="L5" s="125" t="s">
        <v>24</v>
      </c>
    </row>
    <row r="6" spans="1:13" s="2" customFormat="1" x14ac:dyDescent="0.25">
      <c r="A6" s="126"/>
      <c r="B6" s="126"/>
      <c r="C6" s="14"/>
      <c r="D6" s="5"/>
      <c r="E6" s="5"/>
      <c r="F6" s="5" t="s">
        <v>19</v>
      </c>
      <c r="G6" s="5" t="s">
        <v>20</v>
      </c>
      <c r="H6" s="5" t="s">
        <v>19</v>
      </c>
      <c r="I6" s="5" t="s">
        <v>20</v>
      </c>
      <c r="J6" s="5" t="s">
        <v>19</v>
      </c>
      <c r="K6" s="5" t="s">
        <v>20</v>
      </c>
      <c r="L6" s="126"/>
    </row>
    <row r="7" spans="1:13" s="36" customFormat="1" x14ac:dyDescent="0.25">
      <c r="A7" s="30">
        <v>1</v>
      </c>
      <c r="B7" s="31" t="s">
        <v>1</v>
      </c>
      <c r="C7" s="31"/>
      <c r="D7" s="32">
        <v>2731.5200000000009</v>
      </c>
      <c r="E7" s="33"/>
      <c r="F7" s="33"/>
      <c r="G7" s="33"/>
      <c r="H7" s="33">
        <v>908.75</v>
      </c>
      <c r="I7" s="33"/>
      <c r="J7" s="33">
        <f>D7+F7-H7</f>
        <v>1822.7700000000009</v>
      </c>
      <c r="K7" s="33"/>
      <c r="L7" s="34" t="s">
        <v>51</v>
      </c>
      <c r="M7" s="35" t="s">
        <v>41</v>
      </c>
    </row>
    <row r="8" spans="1:13" s="36" customFormat="1" x14ac:dyDescent="0.25">
      <c r="A8" s="30">
        <v>2</v>
      </c>
      <c r="B8" s="31" t="s">
        <v>2</v>
      </c>
      <c r="C8" s="31"/>
      <c r="D8" s="37">
        <v>12.359999999999673</v>
      </c>
      <c r="E8" s="32"/>
      <c r="F8" s="32"/>
      <c r="G8" s="32"/>
      <c r="H8" s="32"/>
      <c r="I8" s="33"/>
      <c r="J8" s="33">
        <f t="shared" ref="J8:J26" si="0">D8+F8-H8</f>
        <v>12.359999999999673</v>
      </c>
      <c r="K8" s="32"/>
      <c r="L8" s="34" t="s">
        <v>51</v>
      </c>
      <c r="M8" s="35" t="s">
        <v>41</v>
      </c>
    </row>
    <row r="9" spans="1:13" s="36" customFormat="1" x14ac:dyDescent="0.25">
      <c r="A9" s="30">
        <v>3</v>
      </c>
      <c r="B9" s="31" t="s">
        <v>3</v>
      </c>
      <c r="C9" s="31"/>
      <c r="D9" s="37">
        <v>5067</v>
      </c>
      <c r="E9" s="32"/>
      <c r="F9" s="32"/>
      <c r="G9" s="32"/>
      <c r="H9" s="32"/>
      <c r="I9" s="33"/>
      <c r="J9" s="33">
        <f t="shared" si="0"/>
        <v>5067</v>
      </c>
      <c r="K9" s="32"/>
      <c r="L9" s="34" t="s">
        <v>51</v>
      </c>
      <c r="M9" s="35" t="s">
        <v>41</v>
      </c>
    </row>
    <row r="10" spans="1:13" s="36" customFormat="1" x14ac:dyDescent="0.25">
      <c r="A10" s="30">
        <v>4</v>
      </c>
      <c r="B10" s="34" t="s">
        <v>5</v>
      </c>
      <c r="C10" s="34"/>
      <c r="D10" s="32">
        <v>26526</v>
      </c>
      <c r="E10" s="32"/>
      <c r="F10" s="32"/>
      <c r="G10" s="32"/>
      <c r="I10" s="33"/>
      <c r="J10" s="33">
        <f t="shared" si="0"/>
        <v>26526</v>
      </c>
      <c r="K10" s="32"/>
      <c r="L10" s="34" t="s">
        <v>52</v>
      </c>
      <c r="M10" s="36" t="s">
        <v>39</v>
      </c>
    </row>
    <row r="11" spans="1:13" s="36" customFormat="1" x14ac:dyDescent="0.25">
      <c r="A11" s="30">
        <v>5</v>
      </c>
      <c r="B11" s="34" t="s">
        <v>6</v>
      </c>
      <c r="C11" s="34"/>
      <c r="D11" s="32">
        <v>0</v>
      </c>
      <c r="E11" s="32"/>
      <c r="F11" s="32"/>
      <c r="G11" s="32"/>
      <c r="H11" s="32"/>
      <c r="I11" s="33"/>
      <c r="J11" s="33">
        <f t="shared" si="0"/>
        <v>0</v>
      </c>
      <c r="K11" s="32"/>
      <c r="L11" s="34"/>
      <c r="M11" s="36" t="s">
        <v>13</v>
      </c>
    </row>
    <row r="12" spans="1:13" s="36" customFormat="1" x14ac:dyDescent="0.25">
      <c r="A12" s="30">
        <v>6</v>
      </c>
      <c r="B12" s="31" t="s">
        <v>7</v>
      </c>
      <c r="C12" s="31"/>
      <c r="D12" s="37">
        <v>14250</v>
      </c>
      <c r="E12" s="32"/>
      <c r="F12" s="32"/>
      <c r="G12" s="32"/>
      <c r="H12" s="32">
        <v>800</v>
      </c>
      <c r="I12" s="33"/>
      <c r="J12" s="33">
        <f t="shared" si="0"/>
        <v>13450</v>
      </c>
      <c r="K12" s="32"/>
      <c r="L12" s="34" t="s">
        <v>51</v>
      </c>
      <c r="M12" s="35" t="s">
        <v>41</v>
      </c>
    </row>
    <row r="13" spans="1:13" s="43" customFormat="1" x14ac:dyDescent="0.25">
      <c r="A13" s="30">
        <v>7</v>
      </c>
      <c r="B13" s="31" t="s">
        <v>8</v>
      </c>
      <c r="C13" s="31"/>
      <c r="D13" s="37">
        <v>4259.7099999999991</v>
      </c>
      <c r="E13" s="37"/>
      <c r="F13" s="37"/>
      <c r="G13" s="41"/>
      <c r="H13" s="37">
        <v>3295</v>
      </c>
      <c r="I13" s="42"/>
      <c r="J13" s="33">
        <f t="shared" si="0"/>
        <v>964.70999999999913</v>
      </c>
      <c r="K13" s="37"/>
      <c r="L13" s="31">
        <v>964.71000000000276</v>
      </c>
      <c r="M13" s="43" t="s">
        <v>14</v>
      </c>
    </row>
    <row r="14" spans="1:13" s="36" customFormat="1" x14ac:dyDescent="0.25">
      <c r="A14" s="30">
        <v>8</v>
      </c>
      <c r="B14" s="34" t="s">
        <v>29</v>
      </c>
      <c r="C14" s="40">
        <v>37200</v>
      </c>
      <c r="D14" s="32">
        <v>0</v>
      </c>
      <c r="E14" s="32"/>
      <c r="F14" s="32">
        <v>42294.9</v>
      </c>
      <c r="G14" s="32"/>
      <c r="H14" s="32"/>
      <c r="I14" s="33"/>
      <c r="J14" s="33">
        <f t="shared" si="0"/>
        <v>42294.9</v>
      </c>
      <c r="K14" s="32"/>
      <c r="L14" s="34" t="s">
        <v>53</v>
      </c>
      <c r="M14" s="36" t="s">
        <v>55</v>
      </c>
    </row>
    <row r="15" spans="1:13" s="2" customFormat="1" x14ac:dyDescent="0.25">
      <c r="A15" s="23">
        <v>9</v>
      </c>
      <c r="B15" s="3" t="s">
        <v>10</v>
      </c>
      <c r="C15" s="3"/>
      <c r="D15" s="6">
        <v>0</v>
      </c>
      <c r="E15" s="6"/>
      <c r="F15" s="6"/>
      <c r="G15" s="6"/>
      <c r="H15" s="6"/>
      <c r="I15" s="10"/>
      <c r="J15" s="33">
        <f t="shared" si="0"/>
        <v>0</v>
      </c>
      <c r="K15" s="6"/>
      <c r="L15" s="3"/>
      <c r="M15" s="2" t="s">
        <v>15</v>
      </c>
    </row>
    <row r="16" spans="1:13" s="2" customFormat="1" x14ac:dyDescent="0.25">
      <c r="A16" s="23">
        <v>10</v>
      </c>
      <c r="B16" s="3" t="s">
        <v>10</v>
      </c>
      <c r="C16" s="3"/>
      <c r="D16" s="6">
        <v>0</v>
      </c>
      <c r="E16" s="6"/>
      <c r="G16" s="6"/>
      <c r="H16" s="6"/>
      <c r="I16" s="10"/>
      <c r="J16" s="33">
        <f t="shared" si="0"/>
        <v>0</v>
      </c>
      <c r="K16" s="6"/>
      <c r="L16" s="3"/>
      <c r="M16" s="2" t="s">
        <v>16</v>
      </c>
    </row>
    <row r="17" spans="1:13" s="36" customFormat="1" x14ac:dyDescent="0.25">
      <c r="A17" s="30">
        <v>11</v>
      </c>
      <c r="B17" s="34" t="s">
        <v>10</v>
      </c>
      <c r="C17" s="34"/>
      <c r="D17" s="32">
        <v>10817.289999999999</v>
      </c>
      <c r="E17" s="32"/>
      <c r="F17" s="32"/>
      <c r="G17" s="32"/>
      <c r="H17" s="32">
        <v>10817.29</v>
      </c>
      <c r="I17" s="33"/>
      <c r="J17" s="33">
        <f t="shared" si="0"/>
        <v>0</v>
      </c>
      <c r="K17" s="32"/>
      <c r="L17" s="34" t="s">
        <v>54</v>
      </c>
      <c r="M17" s="36" t="s">
        <v>40</v>
      </c>
    </row>
    <row r="18" spans="1:13" s="36" customFormat="1" x14ac:dyDescent="0.25">
      <c r="A18" s="30">
        <v>12</v>
      </c>
      <c r="B18" s="34" t="s">
        <v>10</v>
      </c>
      <c r="C18" s="34"/>
      <c r="D18" s="32">
        <v>4741.4699999999993</v>
      </c>
      <c r="E18" s="32"/>
      <c r="F18" s="32"/>
      <c r="G18" s="32"/>
      <c r="H18" s="32">
        <v>4741.4699999999993</v>
      </c>
      <c r="I18" s="33"/>
      <c r="J18" s="33">
        <f t="shared" si="0"/>
        <v>0</v>
      </c>
      <c r="K18" s="32"/>
      <c r="L18" s="34" t="s">
        <v>54</v>
      </c>
      <c r="M18" s="35" t="s">
        <v>41</v>
      </c>
    </row>
    <row r="19" spans="1:13" s="2" customFormat="1" x14ac:dyDescent="0.25">
      <c r="A19" s="23">
        <v>13</v>
      </c>
      <c r="B19" s="3" t="s">
        <v>29</v>
      </c>
      <c r="C19" s="19"/>
      <c r="D19" s="40">
        <v>15303.300000000003</v>
      </c>
      <c r="E19" s="13"/>
      <c r="F19" s="6"/>
      <c r="G19" s="13"/>
      <c r="H19" s="6">
        <v>15303.300000000001</v>
      </c>
      <c r="I19" s="10"/>
      <c r="J19" s="33">
        <f t="shared" si="0"/>
        <v>0</v>
      </c>
      <c r="K19" s="13"/>
      <c r="L19" s="3" t="s">
        <v>54</v>
      </c>
      <c r="M19" s="17" t="s">
        <v>42</v>
      </c>
    </row>
    <row r="20" spans="1:13" s="2" customFormat="1" x14ac:dyDescent="0.25">
      <c r="A20" s="23">
        <v>14</v>
      </c>
      <c r="B20" s="3" t="s">
        <v>5</v>
      </c>
      <c r="C20" s="19"/>
      <c r="D20" s="13">
        <v>27113.08</v>
      </c>
      <c r="E20" s="13"/>
      <c r="F20" s="6"/>
      <c r="G20" s="13"/>
      <c r="H20" s="6"/>
      <c r="I20" s="10"/>
      <c r="J20" s="33">
        <f t="shared" si="0"/>
        <v>27113.08</v>
      </c>
      <c r="K20" s="13"/>
      <c r="L20" s="26">
        <v>27028.02</v>
      </c>
      <c r="M20" s="2" t="s">
        <v>43</v>
      </c>
    </row>
    <row r="21" spans="1:13" s="2" customFormat="1" x14ac:dyDescent="0.25">
      <c r="A21" s="23">
        <v>15</v>
      </c>
      <c r="B21" s="3" t="s">
        <v>5</v>
      </c>
      <c r="C21" s="19"/>
      <c r="D21" s="13">
        <v>27988.03</v>
      </c>
      <c r="E21" s="13"/>
      <c r="F21" s="6"/>
      <c r="G21" s="13"/>
      <c r="H21" s="6"/>
      <c r="I21" s="10"/>
      <c r="J21" s="33">
        <f t="shared" si="0"/>
        <v>27988.03</v>
      </c>
      <c r="K21" s="13"/>
      <c r="L21" s="3" t="s">
        <v>51</v>
      </c>
      <c r="M21" s="2" t="s">
        <v>43</v>
      </c>
    </row>
    <row r="22" spans="1:13" s="2" customFormat="1" x14ac:dyDescent="0.25">
      <c r="A22" s="23"/>
      <c r="B22" s="3" t="s">
        <v>45</v>
      </c>
      <c r="C22" s="19"/>
      <c r="D22" s="13"/>
      <c r="E22" s="13"/>
      <c r="F22" s="6">
        <v>8260</v>
      </c>
      <c r="G22" s="39"/>
      <c r="H22" s="6">
        <v>2040</v>
      </c>
      <c r="I22" s="10"/>
      <c r="J22" s="33">
        <f t="shared" si="0"/>
        <v>6220</v>
      </c>
      <c r="K22" s="13"/>
      <c r="L22" s="3">
        <v>6120</v>
      </c>
      <c r="M22" s="2" t="s">
        <v>47</v>
      </c>
    </row>
    <row r="23" spans="1:13" x14ac:dyDescent="0.25">
      <c r="B23" s="25" t="s">
        <v>46</v>
      </c>
      <c r="E23" s="13"/>
      <c r="F23">
        <v>6500</v>
      </c>
      <c r="H23">
        <v>700</v>
      </c>
      <c r="J23" s="33">
        <f t="shared" si="0"/>
        <v>5800</v>
      </c>
      <c r="L23" s="25" t="s">
        <v>51</v>
      </c>
      <c r="M23" s="2" t="s">
        <v>48</v>
      </c>
    </row>
    <row r="24" spans="1:13" s="2" customFormat="1" x14ac:dyDescent="0.25">
      <c r="A24" s="23">
        <v>16</v>
      </c>
      <c r="B24" s="3" t="s">
        <v>29</v>
      </c>
      <c r="C24" s="19"/>
      <c r="D24" s="13">
        <v>0</v>
      </c>
      <c r="E24" s="6"/>
      <c r="F24" s="6">
        <v>14082.1</v>
      </c>
      <c r="G24" s="13"/>
      <c r="H24" s="6">
        <v>14081.6</v>
      </c>
      <c r="I24" s="10"/>
      <c r="J24" s="33">
        <f t="shared" si="0"/>
        <v>0.5</v>
      </c>
      <c r="K24" s="13"/>
      <c r="L24" s="3" t="s">
        <v>54</v>
      </c>
      <c r="M24" s="2" t="s">
        <v>48</v>
      </c>
    </row>
    <row r="25" spans="1:13" s="2" customFormat="1" x14ac:dyDescent="0.25">
      <c r="A25" s="23"/>
      <c r="B25" s="3" t="s">
        <v>29</v>
      </c>
      <c r="C25" s="19"/>
      <c r="D25" s="13"/>
      <c r="E25" s="6"/>
      <c r="F25" s="6">
        <v>14082.1</v>
      </c>
      <c r="G25" s="13"/>
      <c r="H25" s="6"/>
      <c r="I25" s="10"/>
      <c r="J25" s="33">
        <f t="shared" si="0"/>
        <v>14082.1</v>
      </c>
      <c r="K25" s="13"/>
      <c r="L25" s="3"/>
      <c r="M25" s="2" t="s">
        <v>71</v>
      </c>
    </row>
    <row r="26" spans="1:13" s="2" customFormat="1" x14ac:dyDescent="0.25">
      <c r="A26" s="23"/>
      <c r="B26" s="3" t="s">
        <v>49</v>
      </c>
      <c r="C26" s="19"/>
      <c r="D26" s="13"/>
      <c r="E26" s="6"/>
      <c r="F26" s="6">
        <v>27028</v>
      </c>
      <c r="G26" s="13"/>
      <c r="H26" s="6"/>
      <c r="I26" s="10"/>
      <c r="J26" s="33">
        <f t="shared" si="0"/>
        <v>27028</v>
      </c>
      <c r="K26" s="13"/>
      <c r="L26" s="3">
        <v>27113.08</v>
      </c>
      <c r="M26" s="2" t="s">
        <v>50</v>
      </c>
    </row>
    <row r="27" spans="1:13" s="2" customFormat="1" x14ac:dyDescent="0.25">
      <c r="A27" s="3"/>
      <c r="B27" s="7" t="s">
        <v>25</v>
      </c>
      <c r="C27" s="7"/>
      <c r="D27" s="8">
        <f>SUM(D7:D26)</f>
        <v>138809.76</v>
      </c>
      <c r="E27" s="8"/>
      <c r="F27" s="8">
        <v>98165</v>
      </c>
      <c r="G27" s="8">
        <f t="shared" ref="G27:J27" si="1">SUM(G7:G26)</f>
        <v>0</v>
      </c>
      <c r="H27" s="8">
        <f t="shared" si="1"/>
        <v>52687.41</v>
      </c>
      <c r="I27" s="8">
        <f t="shared" si="1"/>
        <v>0</v>
      </c>
      <c r="J27" s="8">
        <f t="shared" si="1"/>
        <v>198369.45</v>
      </c>
      <c r="K27" s="6"/>
      <c r="L27" s="3"/>
    </row>
    <row r="28" spans="1:13" x14ac:dyDescent="0.25">
      <c r="D28" s="24"/>
    </row>
    <row r="29" spans="1:13" x14ac:dyDescent="0.25">
      <c r="G29" s="27"/>
      <c r="H29" s="27"/>
      <c r="J29" s="24"/>
    </row>
    <row r="30" spans="1:13" x14ac:dyDescent="0.25">
      <c r="G30" s="27"/>
      <c r="H30" s="27"/>
      <c r="J30" s="24"/>
    </row>
    <row r="31" spans="1:13" x14ac:dyDescent="0.25">
      <c r="G31" s="27">
        <v>9191</v>
      </c>
      <c r="H31" s="27"/>
    </row>
    <row r="32" spans="1:13" x14ac:dyDescent="0.25">
      <c r="G32" s="27">
        <f>G31-J19</f>
        <v>9191</v>
      </c>
      <c r="H32" s="27">
        <v>4740</v>
      </c>
    </row>
    <row r="33" spans="7:7" x14ac:dyDescent="0.25">
      <c r="G33" s="27"/>
    </row>
    <row r="34" spans="7:7" x14ac:dyDescent="0.25">
      <c r="G34" s="27"/>
    </row>
    <row r="35" spans="7:7" x14ac:dyDescent="0.25">
      <c r="G35" s="27"/>
    </row>
    <row r="36" spans="7:7" x14ac:dyDescent="0.25">
      <c r="G36" s="27"/>
    </row>
    <row r="37" spans="7:7" x14ac:dyDescent="0.25">
      <c r="G37" s="27"/>
    </row>
  </sheetData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K7 I24:I26 I8:I22 J8:J26">
    <cfRule type="expression" dxfId="19" priority="1">
      <formula>AND(($O7-TODAY())&lt;90,NOT(ISBLANK($O7)))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43"/>
  <sheetViews>
    <sheetView workbookViewId="0">
      <selection activeCell="F29" sqref="F29"/>
    </sheetView>
  </sheetViews>
  <sheetFormatPr defaultRowHeight="15" x14ac:dyDescent="0.25"/>
  <cols>
    <col min="2" max="2" width="57" customWidth="1"/>
    <col min="3" max="3" width="22.28515625" customWidth="1"/>
    <col min="4" max="4" width="14.140625" customWidth="1"/>
    <col min="5" max="5" width="17.140625" customWidth="1"/>
    <col min="6" max="6" width="13.140625" customWidth="1"/>
    <col min="7" max="7" width="19.42578125" customWidth="1"/>
    <col min="8" max="8" width="11.42578125" customWidth="1"/>
    <col min="10" max="10" width="17.5703125" customWidth="1"/>
    <col min="11" max="11" width="24" customWidth="1"/>
    <col min="12" max="12" width="10.42578125" bestFit="1" customWidth="1"/>
    <col min="13" max="13" width="63.57031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125" t="s">
        <v>0</v>
      </c>
      <c r="B5" s="125" t="s">
        <v>18</v>
      </c>
      <c r="C5" s="18" t="s">
        <v>34</v>
      </c>
      <c r="D5" s="127" t="s">
        <v>33</v>
      </c>
      <c r="E5" s="128"/>
      <c r="F5" s="127" t="s">
        <v>21</v>
      </c>
      <c r="G5" s="128"/>
      <c r="H5" s="127" t="s">
        <v>22</v>
      </c>
      <c r="I5" s="128"/>
      <c r="J5" s="127" t="s">
        <v>23</v>
      </c>
      <c r="K5" s="128"/>
      <c r="L5" s="125" t="s">
        <v>24</v>
      </c>
      <c r="M5" s="3"/>
    </row>
    <row r="6" spans="1:13" s="2" customFormat="1" x14ac:dyDescent="0.25">
      <c r="A6" s="126"/>
      <c r="B6" s="126"/>
      <c r="C6" s="14" t="s">
        <v>57</v>
      </c>
      <c r="D6" s="5"/>
      <c r="E6" s="5"/>
      <c r="F6" s="52" t="s">
        <v>19</v>
      </c>
      <c r="G6" s="5" t="s">
        <v>20</v>
      </c>
      <c r="H6" s="52" t="s">
        <v>19</v>
      </c>
      <c r="I6" s="5" t="s">
        <v>20</v>
      </c>
      <c r="J6" s="52" t="s">
        <v>19</v>
      </c>
      <c r="K6" s="5" t="s">
        <v>20</v>
      </c>
      <c r="L6" s="126"/>
      <c r="M6" s="3"/>
    </row>
    <row r="7" spans="1:13" s="29" customFormat="1" x14ac:dyDescent="0.25">
      <c r="A7" s="23">
        <v>1</v>
      </c>
      <c r="B7" s="21" t="s">
        <v>1</v>
      </c>
      <c r="C7" s="45">
        <v>33000</v>
      </c>
      <c r="D7" s="45">
        <v>1822.7700000000009</v>
      </c>
      <c r="E7" s="51">
        <f>C7*D7</f>
        <v>60151410.00000003</v>
      </c>
      <c r="F7" s="44"/>
      <c r="G7" s="44"/>
      <c r="H7" s="44">
        <f>458.15</f>
        <v>458.15</v>
      </c>
      <c r="I7" s="44"/>
      <c r="J7" s="44">
        <f>D7+F7-H7</f>
        <v>1364.6200000000008</v>
      </c>
      <c r="K7" s="51">
        <f>E7+F7-H7</f>
        <v>60150951.850000031</v>
      </c>
      <c r="L7" s="21" t="s">
        <v>51</v>
      </c>
      <c r="M7" s="21" t="s">
        <v>41</v>
      </c>
    </row>
    <row r="8" spans="1:13" s="29" customFormat="1" x14ac:dyDescent="0.25">
      <c r="A8" s="23">
        <v>2</v>
      </c>
      <c r="B8" s="21" t="s">
        <v>2</v>
      </c>
      <c r="C8" s="45">
        <v>75000</v>
      </c>
      <c r="D8" s="45">
        <v>12.359999999999673</v>
      </c>
      <c r="E8" s="51">
        <f t="shared" ref="E8:E25" si="0">C8*D8</f>
        <v>926999.99999997544</v>
      </c>
      <c r="F8" s="22"/>
      <c r="G8" s="22"/>
      <c r="H8" s="22"/>
      <c r="I8" s="44"/>
      <c r="J8" s="44">
        <f t="shared" ref="J8:J29" si="1">D8+F8-H8</f>
        <v>12.359999999999673</v>
      </c>
      <c r="K8" s="51">
        <f t="shared" ref="K8:K25" si="2">E8+F8-H8</f>
        <v>926999.99999997544</v>
      </c>
      <c r="L8" s="21" t="s">
        <v>51</v>
      </c>
      <c r="M8" s="21" t="s">
        <v>41</v>
      </c>
    </row>
    <row r="9" spans="1:13" s="29" customFormat="1" x14ac:dyDescent="0.25">
      <c r="A9" s="23">
        <v>3</v>
      </c>
      <c r="B9" s="21" t="s">
        <v>3</v>
      </c>
      <c r="C9" s="45">
        <v>52000</v>
      </c>
      <c r="D9" s="45">
        <v>5067</v>
      </c>
      <c r="E9" s="51">
        <f t="shared" si="0"/>
        <v>263484000</v>
      </c>
      <c r="F9" s="22"/>
      <c r="G9" s="22"/>
      <c r="H9" s="22"/>
      <c r="I9" s="44"/>
      <c r="J9" s="44">
        <f t="shared" si="1"/>
        <v>5067</v>
      </c>
      <c r="K9" s="51">
        <f t="shared" si="2"/>
        <v>263484000</v>
      </c>
      <c r="L9" s="21" t="s">
        <v>51</v>
      </c>
      <c r="M9" s="21" t="s">
        <v>41</v>
      </c>
    </row>
    <row r="10" spans="1:13" s="29" customFormat="1" x14ac:dyDescent="0.25">
      <c r="A10" s="23">
        <v>4</v>
      </c>
      <c r="B10" s="58" t="s">
        <v>5</v>
      </c>
      <c r="C10" s="45">
        <v>48000</v>
      </c>
      <c r="D10" s="45">
        <v>26526</v>
      </c>
      <c r="E10" s="51">
        <f t="shared" si="0"/>
        <v>1273248000</v>
      </c>
      <c r="F10" s="22"/>
      <c r="G10" s="22"/>
      <c r="H10" s="38">
        <f>13067.51+8205.64</f>
        <v>21273.15</v>
      </c>
      <c r="I10" s="44"/>
      <c r="J10" s="44">
        <f t="shared" si="1"/>
        <v>5252.8499999999985</v>
      </c>
      <c r="K10" s="51">
        <f t="shared" si="2"/>
        <v>1273226726.8499999</v>
      </c>
      <c r="L10" s="21" t="s">
        <v>52</v>
      </c>
      <c r="M10" s="21" t="s">
        <v>39</v>
      </c>
    </row>
    <row r="11" spans="1:13" s="29" customFormat="1" x14ac:dyDescent="0.25">
      <c r="A11" s="23">
        <v>5</v>
      </c>
      <c r="B11" s="21" t="s">
        <v>6</v>
      </c>
      <c r="C11" s="45"/>
      <c r="D11" s="45">
        <v>0</v>
      </c>
      <c r="E11" s="51">
        <f t="shared" si="0"/>
        <v>0</v>
      </c>
      <c r="F11" s="22"/>
      <c r="G11" s="22"/>
      <c r="H11" s="22"/>
      <c r="I11" s="44"/>
      <c r="J11" s="44">
        <f t="shared" si="1"/>
        <v>0</v>
      </c>
      <c r="K11" s="51">
        <f t="shared" si="2"/>
        <v>0</v>
      </c>
      <c r="L11" s="21"/>
      <c r="M11" s="21" t="s">
        <v>13</v>
      </c>
    </row>
    <row r="12" spans="1:13" s="29" customFormat="1" x14ac:dyDescent="0.25">
      <c r="A12" s="23">
        <v>6</v>
      </c>
      <c r="B12" s="21" t="s">
        <v>7</v>
      </c>
      <c r="C12" s="45">
        <v>71000</v>
      </c>
      <c r="D12" s="45">
        <v>13450</v>
      </c>
      <c r="E12" s="51">
        <f t="shared" si="0"/>
        <v>954950000</v>
      </c>
      <c r="F12" s="22"/>
      <c r="G12" s="22"/>
      <c r="H12" s="22">
        <f>500+400</f>
        <v>900</v>
      </c>
      <c r="I12" s="44"/>
      <c r="J12" s="44">
        <f t="shared" si="1"/>
        <v>12550</v>
      </c>
      <c r="K12" s="51">
        <f t="shared" si="2"/>
        <v>954949100</v>
      </c>
      <c r="L12" s="21" t="s">
        <v>51</v>
      </c>
      <c r="M12" s="21" t="s">
        <v>41</v>
      </c>
    </row>
    <row r="13" spans="1:13" s="29" customFormat="1" x14ac:dyDescent="0.25">
      <c r="A13" s="23">
        <v>7</v>
      </c>
      <c r="B13" s="21" t="s">
        <v>8</v>
      </c>
      <c r="C13" s="45">
        <v>55000</v>
      </c>
      <c r="D13" s="45">
        <v>964.70999999999913</v>
      </c>
      <c r="E13" s="51">
        <f t="shared" si="0"/>
        <v>53059049.999999955</v>
      </c>
      <c r="F13" s="22"/>
      <c r="G13" s="38"/>
      <c r="H13" s="22"/>
      <c r="I13" s="44"/>
      <c r="J13" s="44">
        <f t="shared" si="1"/>
        <v>964.70999999999913</v>
      </c>
      <c r="K13" s="51">
        <f t="shared" si="2"/>
        <v>53059049.999999955</v>
      </c>
      <c r="L13" s="21">
        <v>964.71000000000276</v>
      </c>
      <c r="M13" s="21" t="s">
        <v>14</v>
      </c>
    </row>
    <row r="14" spans="1:13" s="29" customFormat="1" x14ac:dyDescent="0.25">
      <c r="A14" s="23">
        <v>8</v>
      </c>
      <c r="B14" s="21" t="s">
        <v>29</v>
      </c>
      <c r="C14" s="45">
        <v>37200</v>
      </c>
      <c r="D14" s="45">
        <v>42294.9</v>
      </c>
      <c r="E14" s="51">
        <f>D14*C14</f>
        <v>1573370280</v>
      </c>
      <c r="F14" s="65">
        <v>20989.200000000001</v>
      </c>
      <c r="G14" s="22"/>
      <c r="H14" s="22">
        <f>19996+12109.4</f>
        <v>32105.4</v>
      </c>
      <c r="I14" s="44"/>
      <c r="J14" s="44">
        <f t="shared" si="1"/>
        <v>31178.700000000004</v>
      </c>
      <c r="K14" s="51">
        <f t="shared" si="2"/>
        <v>1573359163.8</v>
      </c>
      <c r="L14" s="21" t="s">
        <v>53</v>
      </c>
      <c r="M14" s="21" t="s">
        <v>55</v>
      </c>
    </row>
    <row r="15" spans="1:13" s="29" customFormat="1" x14ac:dyDescent="0.25">
      <c r="A15" s="23">
        <v>9</v>
      </c>
      <c r="B15" s="21" t="s">
        <v>10</v>
      </c>
      <c r="C15" s="45"/>
      <c r="D15" s="45">
        <v>0</v>
      </c>
      <c r="E15" s="51">
        <f t="shared" si="0"/>
        <v>0</v>
      </c>
      <c r="F15" s="22"/>
      <c r="G15" s="22"/>
      <c r="H15" s="22"/>
      <c r="I15" s="44"/>
      <c r="J15" s="44">
        <f t="shared" si="1"/>
        <v>0</v>
      </c>
      <c r="K15" s="51">
        <f t="shared" si="2"/>
        <v>0</v>
      </c>
      <c r="L15" s="21"/>
      <c r="M15" s="21" t="s">
        <v>15</v>
      </c>
    </row>
    <row r="16" spans="1:13" s="29" customFormat="1" x14ac:dyDescent="0.25">
      <c r="A16" s="23">
        <v>10</v>
      </c>
      <c r="B16" s="21" t="s">
        <v>10</v>
      </c>
      <c r="C16" s="45"/>
      <c r="D16" s="45">
        <v>0</v>
      </c>
      <c r="E16" s="51">
        <f t="shared" si="0"/>
        <v>0</v>
      </c>
      <c r="G16" s="22"/>
      <c r="H16" s="22"/>
      <c r="I16" s="44"/>
      <c r="J16" s="44">
        <f t="shared" si="1"/>
        <v>0</v>
      </c>
      <c r="K16" s="51">
        <f t="shared" si="2"/>
        <v>0</v>
      </c>
      <c r="L16" s="21"/>
      <c r="M16" s="21" t="s">
        <v>16</v>
      </c>
    </row>
    <row r="17" spans="1:13" s="29" customFormat="1" x14ac:dyDescent="0.25">
      <c r="A17" s="23">
        <v>11</v>
      </c>
      <c r="B17" s="21" t="s">
        <v>10</v>
      </c>
      <c r="C17" s="45"/>
      <c r="D17" s="45">
        <v>0</v>
      </c>
      <c r="E17" s="51">
        <f t="shared" si="0"/>
        <v>0</v>
      </c>
      <c r="F17" s="22"/>
      <c r="G17" s="22"/>
      <c r="H17" s="22"/>
      <c r="I17" s="44"/>
      <c r="J17" s="44">
        <f t="shared" si="1"/>
        <v>0</v>
      </c>
      <c r="K17" s="51">
        <f t="shared" si="2"/>
        <v>0</v>
      </c>
      <c r="L17" s="21" t="s">
        <v>54</v>
      </c>
      <c r="M17" s="21" t="s">
        <v>40</v>
      </c>
    </row>
    <row r="18" spans="1:13" s="29" customFormat="1" x14ac:dyDescent="0.25">
      <c r="A18" s="23">
        <v>12</v>
      </c>
      <c r="B18" s="21" t="s">
        <v>10</v>
      </c>
      <c r="C18" s="45"/>
      <c r="D18" s="45">
        <v>0</v>
      </c>
      <c r="E18" s="51">
        <f t="shared" si="0"/>
        <v>0</v>
      </c>
      <c r="F18" s="22"/>
      <c r="G18" s="22"/>
      <c r="H18" s="22"/>
      <c r="I18" s="44"/>
      <c r="J18" s="44">
        <f t="shared" si="1"/>
        <v>0</v>
      </c>
      <c r="K18" s="51">
        <f t="shared" si="2"/>
        <v>0</v>
      </c>
      <c r="L18" s="21" t="s">
        <v>54</v>
      </c>
      <c r="M18" s="21" t="s">
        <v>41</v>
      </c>
    </row>
    <row r="19" spans="1:13" s="29" customFormat="1" x14ac:dyDescent="0.25">
      <c r="A19" s="23">
        <v>13</v>
      </c>
      <c r="B19" s="21" t="s">
        <v>29</v>
      </c>
      <c r="C19" s="46"/>
      <c r="D19" s="45">
        <v>0</v>
      </c>
      <c r="E19" s="51">
        <f t="shared" si="0"/>
        <v>0</v>
      </c>
      <c r="F19" s="22"/>
      <c r="G19" s="45"/>
      <c r="H19" s="22"/>
      <c r="I19" s="44"/>
      <c r="J19" s="44">
        <f t="shared" si="1"/>
        <v>0</v>
      </c>
      <c r="K19" s="51">
        <f t="shared" si="2"/>
        <v>0</v>
      </c>
      <c r="L19" s="21" t="s">
        <v>54</v>
      </c>
      <c r="M19" s="21" t="s">
        <v>42</v>
      </c>
    </row>
    <row r="20" spans="1:13" s="29" customFormat="1" x14ac:dyDescent="0.25">
      <c r="A20" s="23">
        <v>14</v>
      </c>
      <c r="B20" s="21" t="s">
        <v>5</v>
      </c>
      <c r="C20" s="57">
        <v>37085</v>
      </c>
      <c r="D20" s="45">
        <v>27113.08</v>
      </c>
      <c r="E20" s="51">
        <f t="shared" si="0"/>
        <v>1005488571.8000001</v>
      </c>
      <c r="F20" s="22"/>
      <c r="G20" s="45"/>
      <c r="H20" s="22"/>
      <c r="I20" s="44"/>
      <c r="J20" s="44">
        <f t="shared" si="1"/>
        <v>27113.08</v>
      </c>
      <c r="K20" s="51">
        <f t="shared" si="2"/>
        <v>1005488571.8000001</v>
      </c>
      <c r="L20" s="47">
        <v>27028.02</v>
      </c>
      <c r="M20" s="21" t="s">
        <v>43</v>
      </c>
    </row>
    <row r="21" spans="1:13" s="29" customFormat="1" x14ac:dyDescent="0.25">
      <c r="A21" s="23">
        <v>15</v>
      </c>
      <c r="B21" s="21" t="s">
        <v>5</v>
      </c>
      <c r="C21" s="57">
        <v>37085</v>
      </c>
      <c r="D21" s="45">
        <v>27988.03</v>
      </c>
      <c r="E21" s="51">
        <f t="shared" si="0"/>
        <v>1037936092.55</v>
      </c>
      <c r="F21" s="22"/>
      <c r="G21" s="45"/>
      <c r="H21" s="22"/>
      <c r="I21" s="44"/>
      <c r="J21" s="44">
        <f t="shared" si="1"/>
        <v>27988.03</v>
      </c>
      <c r="K21" s="51">
        <f t="shared" si="2"/>
        <v>1037936092.55</v>
      </c>
      <c r="L21" s="21" t="s">
        <v>51</v>
      </c>
      <c r="M21" s="21" t="s">
        <v>43</v>
      </c>
    </row>
    <row r="22" spans="1:13" s="29" customFormat="1" x14ac:dyDescent="0.25">
      <c r="A22" s="23">
        <v>16</v>
      </c>
      <c r="B22" s="21" t="s">
        <v>45</v>
      </c>
      <c r="C22" s="45">
        <v>47000</v>
      </c>
      <c r="D22" s="45">
        <v>6220</v>
      </c>
      <c r="E22" s="51">
        <f t="shared" si="0"/>
        <v>292340000</v>
      </c>
      <c r="F22" s="22"/>
      <c r="G22" s="45"/>
      <c r="H22" s="22">
        <v>1360</v>
      </c>
      <c r="I22" s="44"/>
      <c r="J22" s="44">
        <f t="shared" si="1"/>
        <v>4860</v>
      </c>
      <c r="K22" s="51">
        <f t="shared" si="2"/>
        <v>292338640</v>
      </c>
      <c r="L22" s="21">
        <v>6120</v>
      </c>
      <c r="M22" s="21" t="s">
        <v>47</v>
      </c>
    </row>
    <row r="23" spans="1:13" s="48" customFormat="1" x14ac:dyDescent="0.25">
      <c r="A23" s="23">
        <v>17</v>
      </c>
      <c r="B23" s="49" t="s">
        <v>46</v>
      </c>
      <c r="C23" s="50">
        <v>43000</v>
      </c>
      <c r="D23" s="50">
        <v>5800</v>
      </c>
      <c r="E23" s="51">
        <f t="shared" si="0"/>
        <v>249400000</v>
      </c>
      <c r="H23" s="59">
        <v>1900</v>
      </c>
      <c r="J23" s="44">
        <f t="shared" si="1"/>
        <v>3900</v>
      </c>
      <c r="K23" s="51">
        <f t="shared" si="2"/>
        <v>249398100</v>
      </c>
      <c r="L23" s="49" t="s">
        <v>51</v>
      </c>
      <c r="M23" s="21" t="s">
        <v>48</v>
      </c>
    </row>
    <row r="24" spans="1:13" s="29" customFormat="1" hidden="1" x14ac:dyDescent="0.25">
      <c r="A24" s="23">
        <v>18</v>
      </c>
      <c r="B24" s="21" t="s">
        <v>29</v>
      </c>
      <c r="C24" s="46"/>
      <c r="D24" s="45">
        <v>0.5</v>
      </c>
      <c r="E24" s="51">
        <f t="shared" si="0"/>
        <v>0</v>
      </c>
      <c r="F24" s="22"/>
      <c r="G24" s="45"/>
      <c r="H24" s="22"/>
      <c r="I24" s="44"/>
      <c r="J24" s="44">
        <f t="shared" si="1"/>
        <v>0.5</v>
      </c>
      <c r="K24" s="51">
        <f t="shared" si="2"/>
        <v>0</v>
      </c>
      <c r="L24" s="21" t="s">
        <v>54</v>
      </c>
      <c r="M24" s="21" t="s">
        <v>48</v>
      </c>
    </row>
    <row r="25" spans="1:13" s="29" customFormat="1" hidden="1" x14ac:dyDescent="0.25">
      <c r="A25" s="23">
        <v>19</v>
      </c>
      <c r="B25" s="21" t="s">
        <v>49</v>
      </c>
      <c r="C25" s="46">
        <v>47000</v>
      </c>
      <c r="D25" s="45">
        <v>27028</v>
      </c>
      <c r="E25" s="51">
        <f t="shared" si="0"/>
        <v>1270316000</v>
      </c>
      <c r="F25" s="22"/>
      <c r="G25" s="45"/>
      <c r="H25" s="22">
        <f>1603.61+914.34</f>
        <v>2517.9499999999998</v>
      </c>
      <c r="I25" s="44"/>
      <c r="J25" s="44">
        <f t="shared" si="1"/>
        <v>24510.05</v>
      </c>
      <c r="K25" s="51">
        <f t="shared" si="2"/>
        <v>1270313482.05</v>
      </c>
      <c r="L25" s="21">
        <v>27113.08</v>
      </c>
      <c r="M25" s="21" t="s">
        <v>50</v>
      </c>
    </row>
    <row r="26" spans="1:13" s="29" customFormat="1" x14ac:dyDescent="0.25">
      <c r="A26" s="23">
        <v>19</v>
      </c>
      <c r="B26" s="21" t="s">
        <v>56</v>
      </c>
      <c r="C26" s="46">
        <v>55000</v>
      </c>
      <c r="D26" s="45"/>
      <c r="E26" s="51"/>
      <c r="F26" s="22">
        <v>686.8</v>
      </c>
      <c r="G26" s="45">
        <f>C26*F26</f>
        <v>37774000</v>
      </c>
      <c r="H26" s="22"/>
      <c r="I26" s="44"/>
      <c r="J26" s="44">
        <f t="shared" si="1"/>
        <v>686.8</v>
      </c>
      <c r="K26" s="51">
        <f>J26*C26</f>
        <v>37774000</v>
      </c>
      <c r="L26" s="21"/>
      <c r="M26" s="29" t="s">
        <v>58</v>
      </c>
    </row>
    <row r="27" spans="1:13" s="29" customFormat="1" x14ac:dyDescent="0.25">
      <c r="A27" s="23">
        <v>20</v>
      </c>
      <c r="B27" s="21" t="s">
        <v>59</v>
      </c>
      <c r="C27" s="46">
        <v>145500</v>
      </c>
      <c r="D27" s="45"/>
      <c r="E27" s="51"/>
      <c r="F27" s="22">
        <f>728.33+755.6+1841.7+914.34</f>
        <v>4239.97</v>
      </c>
      <c r="G27" s="45">
        <f t="shared" ref="G27:G28" si="3">C27*F27</f>
        <v>616915635</v>
      </c>
      <c r="H27" s="22">
        <v>1483.93</v>
      </c>
      <c r="I27" s="44"/>
      <c r="J27" s="44">
        <f t="shared" si="1"/>
        <v>2756.04</v>
      </c>
      <c r="K27" s="51">
        <f t="shared" ref="K27:K29" si="4">J27*C27</f>
        <v>401003820</v>
      </c>
      <c r="L27" s="21"/>
      <c r="M27" s="29" t="s">
        <v>68</v>
      </c>
    </row>
    <row r="28" spans="1:13" s="29" customFormat="1" x14ac:dyDescent="0.25">
      <c r="A28" s="23">
        <v>21</v>
      </c>
      <c r="B28" s="53" t="s">
        <v>60</v>
      </c>
      <c r="C28" s="46">
        <v>55000</v>
      </c>
      <c r="D28" s="45"/>
      <c r="E28" s="51"/>
      <c r="F28" s="22">
        <f>305+306.81+305</f>
        <v>916.81</v>
      </c>
      <c r="G28" s="45">
        <f t="shared" si="3"/>
        <v>50424550</v>
      </c>
      <c r="H28" s="22"/>
      <c r="I28" s="44"/>
      <c r="J28" s="44">
        <f t="shared" si="1"/>
        <v>916.81</v>
      </c>
      <c r="K28" s="51">
        <f t="shared" si="4"/>
        <v>50424550</v>
      </c>
      <c r="L28" s="21"/>
      <c r="M28" s="29" t="s">
        <v>61</v>
      </c>
    </row>
    <row r="29" spans="1:13" s="29" customFormat="1" x14ac:dyDescent="0.25">
      <c r="A29" s="23">
        <v>22</v>
      </c>
      <c r="B29" s="54" t="s">
        <v>62</v>
      </c>
      <c r="C29" s="46">
        <v>38000</v>
      </c>
      <c r="D29" s="45"/>
      <c r="E29" s="51"/>
      <c r="F29" s="6">
        <v>14082.1</v>
      </c>
      <c r="G29" s="45"/>
      <c r="H29" s="22"/>
      <c r="I29" s="44"/>
      <c r="J29" s="44">
        <f t="shared" si="1"/>
        <v>14082.1</v>
      </c>
      <c r="K29" s="51">
        <f t="shared" si="4"/>
        <v>535119800</v>
      </c>
      <c r="L29" s="21"/>
      <c r="M29" s="56" t="s">
        <v>72</v>
      </c>
    </row>
    <row r="30" spans="1:13" s="29" customFormat="1" x14ac:dyDescent="0.25">
      <c r="A30" s="23">
        <v>23</v>
      </c>
      <c r="B30" s="55" t="s">
        <v>67</v>
      </c>
      <c r="C30" s="46">
        <v>52500</v>
      </c>
      <c r="D30" s="45"/>
      <c r="E30" s="51"/>
      <c r="F30" s="22"/>
      <c r="G30" s="45"/>
      <c r="H30" s="22"/>
      <c r="I30" s="44"/>
      <c r="J30" s="44"/>
      <c r="K30" s="51"/>
      <c r="L30" s="21"/>
      <c r="M30" s="56" t="s">
        <v>66</v>
      </c>
    </row>
    <row r="31" spans="1:13" s="29" customFormat="1" x14ac:dyDescent="0.25">
      <c r="A31" s="23">
        <v>24</v>
      </c>
      <c r="B31" s="55" t="s">
        <v>63</v>
      </c>
      <c r="C31" s="46">
        <v>49500</v>
      </c>
      <c r="D31" s="45"/>
      <c r="E31" s="51"/>
      <c r="F31" s="22"/>
      <c r="G31" s="45"/>
      <c r="H31" s="22"/>
      <c r="I31" s="44"/>
      <c r="J31" s="51"/>
      <c r="K31" s="51"/>
      <c r="L31" s="21"/>
      <c r="M31" s="56" t="s">
        <v>65</v>
      </c>
    </row>
    <row r="32" spans="1:13" s="29" customFormat="1" x14ac:dyDescent="0.25">
      <c r="A32" s="23">
        <v>25</v>
      </c>
      <c r="B32" s="55" t="s">
        <v>64</v>
      </c>
      <c r="C32" s="46">
        <v>48000</v>
      </c>
      <c r="D32" s="45"/>
      <c r="E32" s="51"/>
      <c r="F32" s="22"/>
      <c r="G32" s="45"/>
      <c r="H32" s="45"/>
      <c r="I32" s="44"/>
      <c r="J32" s="51"/>
      <c r="K32" s="51"/>
      <c r="L32" s="21"/>
      <c r="M32" s="56" t="s">
        <v>65</v>
      </c>
    </row>
    <row r="33" spans="1:12" s="64" customFormat="1" ht="12.75" x14ac:dyDescent="0.2">
      <c r="A33" s="60"/>
      <c r="B33" s="61" t="s">
        <v>25</v>
      </c>
      <c r="C33" s="61"/>
      <c r="D33" s="62">
        <f>D7+D8+D9+D10+D12+D14+D20+D21+D22+D23</f>
        <v>156294.14000000001</v>
      </c>
      <c r="E33" s="62">
        <f>E7+E8+E9+E10+E12+E14+E20+E21+E22+E23</f>
        <v>6711295354.3500004</v>
      </c>
      <c r="F33" s="62">
        <f>F26+F27+F28</f>
        <v>5843.58</v>
      </c>
      <c r="G33" s="62">
        <f>G26+G27+G28</f>
        <v>705114185</v>
      </c>
      <c r="H33" s="62">
        <f>H7+H8+H9+H10+H12+H14+H20+H21+H22+H23+H27</f>
        <v>59480.630000000005</v>
      </c>
      <c r="I33" s="62">
        <f t="shared" ref="I33" si="5">I7+I8+I9+I10+I12+I14+I20+I21+I22+I23+I27</f>
        <v>0</v>
      </c>
      <c r="J33" s="62">
        <f>J7+J8+J9+J10+J12+J14+J20+J21+J22+J27+J28+J23+J26</f>
        <v>123646.29</v>
      </c>
      <c r="K33" s="62">
        <f>K7+K8+K9+K10+K12+K14+K20+K21+K22+K27+K28+K23+K26</f>
        <v>7200460716.8500004</v>
      </c>
      <c r="L33" s="63"/>
    </row>
    <row r="34" spans="1:12" x14ac:dyDescent="0.25">
      <c r="D34" s="24"/>
    </row>
    <row r="35" spans="1:12" x14ac:dyDescent="0.25">
      <c r="G35" s="27"/>
      <c r="H35" s="27"/>
      <c r="J35" s="24"/>
    </row>
    <row r="36" spans="1:12" x14ac:dyDescent="0.25">
      <c r="G36" s="27"/>
      <c r="H36" s="27"/>
      <c r="J36" s="24"/>
    </row>
    <row r="37" spans="1:12" x14ac:dyDescent="0.25">
      <c r="G37" s="27"/>
      <c r="H37" s="27"/>
    </row>
    <row r="38" spans="1:12" x14ac:dyDescent="0.25">
      <c r="G38" s="27"/>
      <c r="H38" s="27"/>
    </row>
    <row r="39" spans="1:12" x14ac:dyDescent="0.25">
      <c r="G39" s="27"/>
    </row>
    <row r="40" spans="1:12" x14ac:dyDescent="0.25">
      <c r="G40" s="27"/>
    </row>
    <row r="41" spans="1:12" x14ac:dyDescent="0.25">
      <c r="G41" s="27"/>
    </row>
    <row r="42" spans="1:12" x14ac:dyDescent="0.25">
      <c r="G42" s="27"/>
    </row>
    <row r="43" spans="1:12" x14ac:dyDescent="0.25">
      <c r="G43" s="27"/>
    </row>
  </sheetData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J7 I24:I32 I8:I22 E8:E32 J8:J32">
    <cfRule type="expression" dxfId="18" priority="2">
      <formula>AND(($O7-TODAY())&lt;90,NOT(ISBLANK($O7)))</formula>
    </cfRule>
  </conditionalFormatting>
  <conditionalFormatting sqref="K7:K32">
    <cfRule type="expression" dxfId="17" priority="1">
      <formula>AND(($O7-TODAY())&lt;90,NOT(ISBLANK($O7)))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3"/>
  <sheetViews>
    <sheetView workbookViewId="0">
      <selection activeCell="E30" sqref="E30"/>
    </sheetView>
  </sheetViews>
  <sheetFormatPr defaultRowHeight="15" x14ac:dyDescent="0.25"/>
  <cols>
    <col min="2" max="2" width="37.5703125" customWidth="1"/>
    <col min="3" max="3" width="22.28515625" customWidth="1"/>
    <col min="4" max="4" width="14.140625" customWidth="1"/>
    <col min="5" max="5" width="17.140625" customWidth="1"/>
    <col min="6" max="6" width="14.85546875" customWidth="1"/>
    <col min="7" max="7" width="19.42578125" customWidth="1"/>
    <col min="8" max="8" width="11.42578125" customWidth="1"/>
    <col min="10" max="10" width="13.85546875" customWidth="1"/>
    <col min="11" max="11" width="24" customWidth="1"/>
    <col min="12" max="12" width="10.42578125" bestFit="1" customWidth="1"/>
    <col min="13" max="13" width="63.5703125" customWidth="1"/>
  </cols>
  <sheetData>
    <row r="1" spans="1:13" x14ac:dyDescent="0.25">
      <c r="G1" s="2"/>
    </row>
    <row r="2" spans="1:13" x14ac:dyDescent="0.25">
      <c r="F2" s="1" t="s">
        <v>17</v>
      </c>
      <c r="G2" s="2"/>
    </row>
    <row r="3" spans="1:13" s="2" customFormat="1" x14ac:dyDescent="0.25">
      <c r="G3" s="129" t="s">
        <v>69</v>
      </c>
      <c r="H3" s="129"/>
    </row>
    <row r="4" spans="1:13" s="2" customFormat="1" x14ac:dyDescent="0.25"/>
    <row r="5" spans="1:13" s="2" customFormat="1" x14ac:dyDescent="0.25">
      <c r="A5" s="125" t="s">
        <v>0</v>
      </c>
      <c r="B5" s="125" t="s">
        <v>18</v>
      </c>
      <c r="C5" s="18" t="s">
        <v>34</v>
      </c>
      <c r="D5" s="127" t="s">
        <v>33</v>
      </c>
      <c r="E5" s="128"/>
      <c r="F5" s="127" t="s">
        <v>21</v>
      </c>
      <c r="G5" s="128"/>
      <c r="H5" s="127" t="s">
        <v>22</v>
      </c>
      <c r="I5" s="128"/>
      <c r="J5" s="127" t="s">
        <v>23</v>
      </c>
      <c r="K5" s="128"/>
      <c r="L5" s="125" t="s">
        <v>24</v>
      </c>
      <c r="M5" s="3"/>
    </row>
    <row r="6" spans="1:13" s="2" customFormat="1" x14ac:dyDescent="0.25">
      <c r="A6" s="126"/>
      <c r="B6" s="126"/>
      <c r="C6" s="14" t="s">
        <v>57</v>
      </c>
      <c r="D6" s="5"/>
      <c r="E6" s="5"/>
      <c r="F6" s="52" t="s">
        <v>19</v>
      </c>
      <c r="G6" s="5" t="s">
        <v>20</v>
      </c>
      <c r="H6" s="52" t="s">
        <v>19</v>
      </c>
      <c r="I6" s="5" t="s">
        <v>20</v>
      </c>
      <c r="J6" s="52" t="s">
        <v>19</v>
      </c>
      <c r="K6" s="5" t="s">
        <v>20</v>
      </c>
      <c r="L6" s="126"/>
      <c r="M6" s="3"/>
    </row>
    <row r="7" spans="1:13" s="29" customFormat="1" x14ac:dyDescent="0.25">
      <c r="A7" s="23">
        <v>1</v>
      </c>
      <c r="B7" s="21" t="s">
        <v>1</v>
      </c>
      <c r="C7" s="45">
        <v>33000</v>
      </c>
      <c r="D7" s="66">
        <v>1364.6200000000008</v>
      </c>
      <c r="E7" s="51">
        <v>60150951.850000031</v>
      </c>
      <c r="F7" s="44"/>
      <c r="G7" s="44"/>
      <c r="H7" s="44"/>
      <c r="I7" s="44"/>
      <c r="J7" s="68">
        <f>D7+F7-H7</f>
        <v>1364.6200000000008</v>
      </c>
      <c r="K7" s="51">
        <f>E7+F7-H7</f>
        <v>60150951.850000031</v>
      </c>
      <c r="L7" s="21" t="s">
        <v>51</v>
      </c>
      <c r="M7" s="21" t="s">
        <v>41</v>
      </c>
    </row>
    <row r="8" spans="1:13" s="29" customFormat="1" x14ac:dyDescent="0.25">
      <c r="A8" s="23">
        <v>2</v>
      </c>
      <c r="B8" s="67" t="s">
        <v>2</v>
      </c>
      <c r="C8" s="39">
        <v>75000</v>
      </c>
      <c r="D8" s="39">
        <v>12.359999999999673</v>
      </c>
      <c r="E8" s="51">
        <v>926999.99999997544</v>
      </c>
      <c r="F8" s="22"/>
      <c r="G8" s="22"/>
      <c r="H8" s="22"/>
      <c r="I8" s="44"/>
      <c r="J8" s="69">
        <f t="shared" ref="J8:J29" si="0">D8+F8-H8</f>
        <v>12.359999999999673</v>
      </c>
      <c r="K8" s="51">
        <f t="shared" ref="K8:K25" si="1">E8+F8-H8</f>
        <v>926999.99999997544</v>
      </c>
      <c r="L8" s="21" t="s">
        <v>51</v>
      </c>
      <c r="M8" s="21" t="s">
        <v>41</v>
      </c>
    </row>
    <row r="9" spans="1:13" s="29" customFormat="1" x14ac:dyDescent="0.25">
      <c r="A9" s="23">
        <v>3</v>
      </c>
      <c r="B9" s="21" t="s">
        <v>3</v>
      </c>
      <c r="C9" s="45">
        <v>52000</v>
      </c>
      <c r="D9" s="66">
        <v>5067</v>
      </c>
      <c r="E9" s="51">
        <v>263484000</v>
      </c>
      <c r="F9" s="22"/>
      <c r="G9" s="22"/>
      <c r="H9" s="22"/>
      <c r="I9" s="44"/>
      <c r="J9" s="68">
        <f t="shared" si="0"/>
        <v>5067</v>
      </c>
      <c r="K9" s="51">
        <f t="shared" si="1"/>
        <v>263484000</v>
      </c>
      <c r="L9" s="21" t="s">
        <v>51</v>
      </c>
      <c r="M9" s="21" t="s">
        <v>41</v>
      </c>
    </row>
    <row r="10" spans="1:13" s="29" customFormat="1" x14ac:dyDescent="0.25">
      <c r="A10" s="23">
        <v>4</v>
      </c>
      <c r="B10" s="21" t="s">
        <v>5</v>
      </c>
      <c r="C10" s="45">
        <v>48000</v>
      </c>
      <c r="D10" s="45">
        <v>5252.8499999999985</v>
      </c>
      <c r="E10" s="51">
        <v>1273226726.8499999</v>
      </c>
      <c r="F10" s="22"/>
      <c r="G10" s="22"/>
      <c r="H10" s="38"/>
      <c r="I10" s="44"/>
      <c r="J10" s="44">
        <f t="shared" si="0"/>
        <v>5252.8499999999985</v>
      </c>
      <c r="K10" s="51">
        <f t="shared" si="1"/>
        <v>1273226726.8499999</v>
      </c>
      <c r="L10" s="21" t="s">
        <v>52</v>
      </c>
      <c r="M10" s="21" t="s">
        <v>39</v>
      </c>
    </row>
    <row r="11" spans="1:13" s="29" customFormat="1" hidden="1" x14ac:dyDescent="0.25">
      <c r="A11" s="23">
        <v>5</v>
      </c>
      <c r="B11" s="21" t="s">
        <v>6</v>
      </c>
      <c r="C11" s="45"/>
      <c r="D11" s="45">
        <v>0</v>
      </c>
      <c r="E11" s="51">
        <v>0</v>
      </c>
      <c r="F11" s="22"/>
      <c r="G11" s="22"/>
      <c r="H11" s="22"/>
      <c r="I11" s="44"/>
      <c r="J11" s="44">
        <f t="shared" si="0"/>
        <v>0</v>
      </c>
      <c r="K11" s="51">
        <f t="shared" si="1"/>
        <v>0</v>
      </c>
      <c r="L11" s="21"/>
      <c r="M11" s="21" t="s">
        <v>13</v>
      </c>
    </row>
    <row r="12" spans="1:13" s="29" customFormat="1" x14ac:dyDescent="0.25">
      <c r="A12" s="23">
        <v>6</v>
      </c>
      <c r="B12" s="21" t="s">
        <v>7</v>
      </c>
      <c r="C12" s="45">
        <v>71000</v>
      </c>
      <c r="D12" s="45">
        <v>12550</v>
      </c>
      <c r="E12" s="51">
        <v>954949100</v>
      </c>
      <c r="F12" s="22"/>
      <c r="G12" s="22"/>
      <c r="H12" s="22">
        <v>400</v>
      </c>
      <c r="I12" s="44"/>
      <c r="J12" s="68">
        <f t="shared" si="0"/>
        <v>12150</v>
      </c>
      <c r="K12" s="51">
        <f t="shared" si="1"/>
        <v>954948700</v>
      </c>
      <c r="L12" s="21" t="s">
        <v>51</v>
      </c>
      <c r="M12" s="21" t="s">
        <v>41</v>
      </c>
    </row>
    <row r="13" spans="1:13" s="29" customFormat="1" hidden="1" x14ac:dyDescent="0.25">
      <c r="A13" s="23">
        <v>7</v>
      </c>
      <c r="B13" s="21" t="s">
        <v>8</v>
      </c>
      <c r="C13" s="45">
        <v>55000</v>
      </c>
      <c r="D13" s="45">
        <v>964.70999999999913</v>
      </c>
      <c r="E13" s="51">
        <v>53059049.999999955</v>
      </c>
      <c r="F13" s="22"/>
      <c r="G13" s="38"/>
      <c r="H13" s="22"/>
      <c r="I13" s="44"/>
      <c r="J13" s="44">
        <f t="shared" si="0"/>
        <v>964.70999999999913</v>
      </c>
      <c r="K13" s="51">
        <f t="shared" si="1"/>
        <v>53059049.999999955</v>
      </c>
      <c r="L13" s="21">
        <v>964.71000000000276</v>
      </c>
      <c r="M13" s="21" t="s">
        <v>14</v>
      </c>
    </row>
    <row r="14" spans="1:13" s="29" customFormat="1" x14ac:dyDescent="0.25">
      <c r="A14" s="23">
        <v>8</v>
      </c>
      <c r="B14" s="21" t="s">
        <v>29</v>
      </c>
      <c r="C14" s="45">
        <v>37200</v>
      </c>
      <c r="D14" s="45">
        <v>31178.700000000004</v>
      </c>
      <c r="E14" s="51">
        <v>1573359163.8</v>
      </c>
      <c r="F14" s="22">
        <v>21176.7</v>
      </c>
      <c r="G14" s="22"/>
      <c r="H14" s="22"/>
      <c r="I14" s="44"/>
      <c r="J14" s="44">
        <f t="shared" si="0"/>
        <v>52355.400000000009</v>
      </c>
      <c r="K14" s="51">
        <f t="shared" si="1"/>
        <v>1573380340.5</v>
      </c>
      <c r="L14" s="21" t="s">
        <v>53</v>
      </c>
      <c r="M14" s="21" t="s">
        <v>55</v>
      </c>
    </row>
    <row r="15" spans="1:13" s="29" customFormat="1" hidden="1" x14ac:dyDescent="0.25">
      <c r="A15" s="23">
        <v>9</v>
      </c>
      <c r="B15" s="21" t="s">
        <v>10</v>
      </c>
      <c r="C15" s="45"/>
      <c r="D15" s="45">
        <v>0</v>
      </c>
      <c r="E15" s="51">
        <v>0</v>
      </c>
      <c r="F15" s="22"/>
      <c r="G15" s="22"/>
      <c r="H15" s="22"/>
      <c r="I15" s="44"/>
      <c r="J15" s="44">
        <f t="shared" si="0"/>
        <v>0</v>
      </c>
      <c r="K15" s="51">
        <f t="shared" si="1"/>
        <v>0</v>
      </c>
      <c r="L15" s="21"/>
      <c r="M15" s="21" t="s">
        <v>15</v>
      </c>
    </row>
    <row r="16" spans="1:13" s="29" customFormat="1" hidden="1" x14ac:dyDescent="0.25">
      <c r="A16" s="23">
        <v>10</v>
      </c>
      <c r="B16" s="21" t="s">
        <v>10</v>
      </c>
      <c r="C16" s="45"/>
      <c r="D16" s="45">
        <v>0</v>
      </c>
      <c r="E16" s="51">
        <v>0</v>
      </c>
      <c r="G16" s="22"/>
      <c r="H16" s="22"/>
      <c r="I16" s="44"/>
      <c r="J16" s="44">
        <f t="shared" si="0"/>
        <v>0</v>
      </c>
      <c r="K16" s="51">
        <f t="shared" si="1"/>
        <v>0</v>
      </c>
      <c r="L16" s="21"/>
      <c r="M16" s="21" t="s">
        <v>16</v>
      </c>
    </row>
    <row r="17" spans="1:13" s="29" customFormat="1" hidden="1" x14ac:dyDescent="0.25">
      <c r="A17" s="23">
        <v>11</v>
      </c>
      <c r="B17" s="21" t="s">
        <v>10</v>
      </c>
      <c r="C17" s="45"/>
      <c r="D17" s="45">
        <v>0</v>
      </c>
      <c r="E17" s="51">
        <v>0</v>
      </c>
      <c r="F17" s="22"/>
      <c r="G17" s="22"/>
      <c r="H17" s="22"/>
      <c r="I17" s="44"/>
      <c r="J17" s="44">
        <f t="shared" si="0"/>
        <v>0</v>
      </c>
      <c r="K17" s="51">
        <f t="shared" si="1"/>
        <v>0</v>
      </c>
      <c r="L17" s="21" t="s">
        <v>54</v>
      </c>
      <c r="M17" s="21" t="s">
        <v>40</v>
      </c>
    </row>
    <row r="18" spans="1:13" s="29" customFormat="1" hidden="1" x14ac:dyDescent="0.25">
      <c r="A18" s="23">
        <v>12</v>
      </c>
      <c r="B18" s="21" t="s">
        <v>10</v>
      </c>
      <c r="C18" s="45"/>
      <c r="D18" s="45">
        <v>0</v>
      </c>
      <c r="E18" s="51">
        <v>0</v>
      </c>
      <c r="F18" s="22"/>
      <c r="G18" s="22"/>
      <c r="H18" s="22"/>
      <c r="I18" s="44"/>
      <c r="J18" s="44">
        <f t="shared" si="0"/>
        <v>0</v>
      </c>
      <c r="K18" s="51">
        <f t="shared" si="1"/>
        <v>0</v>
      </c>
      <c r="L18" s="21" t="s">
        <v>54</v>
      </c>
      <c r="M18" s="21" t="s">
        <v>41</v>
      </c>
    </row>
    <row r="19" spans="1:13" s="29" customFormat="1" hidden="1" x14ac:dyDescent="0.25">
      <c r="A19" s="23">
        <v>13</v>
      </c>
      <c r="B19" s="21" t="s">
        <v>29</v>
      </c>
      <c r="C19" s="46"/>
      <c r="D19" s="45">
        <v>0</v>
      </c>
      <c r="E19" s="51">
        <v>0</v>
      </c>
      <c r="F19" s="22"/>
      <c r="G19" s="45"/>
      <c r="H19" s="22"/>
      <c r="I19" s="44"/>
      <c r="J19" s="44">
        <f t="shared" si="0"/>
        <v>0</v>
      </c>
      <c r="K19" s="51">
        <f t="shared" si="1"/>
        <v>0</v>
      </c>
      <c r="L19" s="21" t="s">
        <v>54</v>
      </c>
      <c r="M19" s="21" t="s">
        <v>42</v>
      </c>
    </row>
    <row r="20" spans="1:13" s="29" customFormat="1" x14ac:dyDescent="0.25">
      <c r="A20" s="23">
        <v>14</v>
      </c>
      <c r="B20" s="21" t="s">
        <v>5</v>
      </c>
      <c r="C20" s="57">
        <v>37085</v>
      </c>
      <c r="D20" s="45">
        <v>27113.08</v>
      </c>
      <c r="E20" s="51">
        <v>1005488571.8000001</v>
      </c>
      <c r="F20" s="22"/>
      <c r="G20" s="45"/>
      <c r="H20" s="22">
        <v>9472.93</v>
      </c>
      <c r="I20" s="44"/>
      <c r="J20" s="44">
        <f t="shared" si="0"/>
        <v>17640.150000000001</v>
      </c>
      <c r="K20" s="51">
        <f t="shared" si="1"/>
        <v>1005479098.8700001</v>
      </c>
      <c r="L20" s="47">
        <v>27028.02</v>
      </c>
      <c r="M20" s="21" t="s">
        <v>43</v>
      </c>
    </row>
    <row r="21" spans="1:13" s="29" customFormat="1" x14ac:dyDescent="0.25">
      <c r="A21" s="23">
        <v>15</v>
      </c>
      <c r="B21" s="21" t="s">
        <v>5</v>
      </c>
      <c r="C21" s="57">
        <v>37085</v>
      </c>
      <c r="D21" s="45">
        <v>27988.03</v>
      </c>
      <c r="E21" s="51">
        <v>1037936092.55</v>
      </c>
      <c r="F21" s="22"/>
      <c r="G21" s="45"/>
      <c r="H21" s="70"/>
      <c r="I21" s="44"/>
      <c r="J21" s="44">
        <f t="shared" si="0"/>
        <v>27988.03</v>
      </c>
      <c r="K21" s="51">
        <f t="shared" si="1"/>
        <v>1037936092.55</v>
      </c>
      <c r="L21" s="21" t="s">
        <v>51</v>
      </c>
      <c r="M21" s="21" t="s">
        <v>43</v>
      </c>
    </row>
    <row r="22" spans="1:13" s="29" customFormat="1" x14ac:dyDescent="0.25">
      <c r="A22" s="23">
        <v>16</v>
      </c>
      <c r="B22" s="21" t="s">
        <v>45</v>
      </c>
      <c r="C22" s="45">
        <v>47000</v>
      </c>
      <c r="D22" s="45">
        <v>4860</v>
      </c>
      <c r="E22" s="51">
        <v>292338640</v>
      </c>
      <c r="F22" s="22"/>
      <c r="G22" s="45"/>
      <c r="H22" s="22">
        <f>680+816</f>
        <v>1496</v>
      </c>
      <c r="I22" s="44"/>
      <c r="J22" s="68">
        <f t="shared" si="0"/>
        <v>3364</v>
      </c>
      <c r="K22" s="51">
        <f t="shared" si="1"/>
        <v>292337144</v>
      </c>
      <c r="L22" s="21">
        <v>6120</v>
      </c>
      <c r="M22" s="21" t="s">
        <v>47</v>
      </c>
    </row>
    <row r="23" spans="1:13" s="48" customFormat="1" x14ac:dyDescent="0.25">
      <c r="A23" s="23">
        <v>17</v>
      </c>
      <c r="B23" s="49" t="s">
        <v>46</v>
      </c>
      <c r="C23" s="50">
        <v>43000</v>
      </c>
      <c r="D23" s="50">
        <v>3900</v>
      </c>
      <c r="E23" s="51">
        <v>249398100</v>
      </c>
      <c r="H23" s="59">
        <v>1900</v>
      </c>
      <c r="J23" s="68">
        <f t="shared" si="0"/>
        <v>2000</v>
      </c>
      <c r="K23" s="51">
        <f t="shared" si="1"/>
        <v>249396200</v>
      </c>
      <c r="L23" s="49" t="s">
        <v>51</v>
      </c>
      <c r="M23" s="21" t="s">
        <v>48</v>
      </c>
    </row>
    <row r="24" spans="1:13" s="29" customFormat="1" hidden="1" x14ac:dyDescent="0.25">
      <c r="A24" s="23">
        <v>18</v>
      </c>
      <c r="B24" s="21" t="s">
        <v>29</v>
      </c>
      <c r="C24" s="46"/>
      <c r="D24" s="45">
        <v>0.5</v>
      </c>
      <c r="E24" s="51">
        <v>0</v>
      </c>
      <c r="F24" s="22"/>
      <c r="G24" s="45"/>
      <c r="H24" s="22"/>
      <c r="I24" s="44"/>
      <c r="J24" s="44">
        <f t="shared" si="0"/>
        <v>0.5</v>
      </c>
      <c r="K24" s="51">
        <f t="shared" si="1"/>
        <v>0</v>
      </c>
      <c r="L24" s="21" t="s">
        <v>54</v>
      </c>
      <c r="M24" s="21" t="s">
        <v>48</v>
      </c>
    </row>
    <row r="25" spans="1:13" s="29" customFormat="1" hidden="1" x14ac:dyDescent="0.25">
      <c r="A25" s="23">
        <v>19</v>
      </c>
      <c r="B25" s="21" t="s">
        <v>49</v>
      </c>
      <c r="C25" s="46">
        <v>47000</v>
      </c>
      <c r="D25" s="45">
        <v>24510.05</v>
      </c>
      <c r="E25" s="51">
        <v>1270313482.05</v>
      </c>
      <c r="F25" s="22"/>
      <c r="G25" s="45"/>
      <c r="H25" s="22"/>
      <c r="I25" s="44"/>
      <c r="J25" s="44">
        <f t="shared" si="0"/>
        <v>24510.05</v>
      </c>
      <c r="K25" s="51">
        <f t="shared" si="1"/>
        <v>1270313482.05</v>
      </c>
      <c r="L25" s="21">
        <v>27113.08</v>
      </c>
      <c r="M25" s="21" t="s">
        <v>50</v>
      </c>
    </row>
    <row r="26" spans="1:13" s="29" customFormat="1" x14ac:dyDescent="0.25">
      <c r="A26" s="23">
        <v>19</v>
      </c>
      <c r="B26" s="21" t="s">
        <v>70</v>
      </c>
      <c r="C26" s="46">
        <v>55000</v>
      </c>
      <c r="D26" s="39">
        <v>686.8</v>
      </c>
      <c r="E26" s="51">
        <v>37774000</v>
      </c>
      <c r="F26" s="70">
        <f>912.08+917.09</f>
        <v>1829.17</v>
      </c>
      <c r="G26" s="45">
        <f>C26*F26</f>
        <v>100604350</v>
      </c>
      <c r="H26" s="22">
        <v>1829.17</v>
      </c>
      <c r="I26" s="44"/>
      <c r="J26" s="69">
        <f t="shared" si="0"/>
        <v>686.80000000000018</v>
      </c>
      <c r="K26" s="51">
        <f>J26*C26</f>
        <v>37774000.000000007</v>
      </c>
      <c r="L26" s="21"/>
      <c r="M26" s="29" t="s">
        <v>58</v>
      </c>
    </row>
    <row r="27" spans="1:13" s="29" customFormat="1" x14ac:dyDescent="0.25">
      <c r="A27" s="23">
        <v>20</v>
      </c>
      <c r="B27" s="21" t="s">
        <v>59</v>
      </c>
      <c r="C27" s="46">
        <v>145500</v>
      </c>
      <c r="D27" s="45">
        <v>2756.04</v>
      </c>
      <c r="E27" s="51">
        <v>401003820</v>
      </c>
      <c r="F27" s="22"/>
      <c r="G27" s="45">
        <f t="shared" ref="G27:G28" si="2">C27*F27</f>
        <v>0</v>
      </c>
      <c r="H27" s="22">
        <v>1286.77</v>
      </c>
      <c r="I27" s="44"/>
      <c r="J27" s="44">
        <f t="shared" si="0"/>
        <v>1469.27</v>
      </c>
      <c r="K27" s="51">
        <f t="shared" ref="K27:K29" si="3">J27*C27</f>
        <v>213778785</v>
      </c>
      <c r="L27" s="21"/>
      <c r="M27" s="29" t="s">
        <v>68</v>
      </c>
    </row>
    <row r="28" spans="1:13" s="29" customFormat="1" x14ac:dyDescent="0.25">
      <c r="A28" s="23">
        <v>21</v>
      </c>
      <c r="B28" s="53" t="s">
        <v>60</v>
      </c>
      <c r="C28" s="46">
        <v>55000</v>
      </c>
      <c r="D28" s="22">
        <v>916.81</v>
      </c>
      <c r="E28" s="51">
        <v>50424550</v>
      </c>
      <c r="F28" s="22"/>
      <c r="G28" s="45">
        <f t="shared" si="2"/>
        <v>0</v>
      </c>
      <c r="H28" s="22"/>
      <c r="I28" s="44"/>
      <c r="J28" s="44">
        <f t="shared" si="0"/>
        <v>916.81</v>
      </c>
      <c r="K28" s="51">
        <f t="shared" si="3"/>
        <v>50424550</v>
      </c>
      <c r="L28" s="21"/>
      <c r="M28" s="29" t="s">
        <v>61</v>
      </c>
    </row>
    <row r="29" spans="1:13" s="29" customFormat="1" x14ac:dyDescent="0.25">
      <c r="A29" s="23">
        <v>22</v>
      </c>
      <c r="B29" s="54" t="s">
        <v>62</v>
      </c>
      <c r="C29" s="46">
        <v>38000</v>
      </c>
      <c r="D29" s="44">
        <v>14082.1</v>
      </c>
      <c r="E29" s="51">
        <v>535119800</v>
      </c>
      <c r="F29" s="22"/>
      <c r="G29" s="45"/>
      <c r="H29" s="22">
        <f>8891.8+7288.4</f>
        <v>16180.199999999999</v>
      </c>
      <c r="I29" s="44"/>
      <c r="J29" s="44">
        <f t="shared" si="0"/>
        <v>-2098.0999999999985</v>
      </c>
      <c r="K29" s="51">
        <f t="shared" si="3"/>
        <v>-79727799.99999994</v>
      </c>
      <c r="L29" s="21"/>
      <c r="M29" s="56" t="s">
        <v>65</v>
      </c>
    </row>
    <row r="30" spans="1:13" s="29" customFormat="1" x14ac:dyDescent="0.25">
      <c r="A30" s="23">
        <v>23</v>
      </c>
      <c r="B30" s="55" t="s">
        <v>67</v>
      </c>
      <c r="C30" s="46">
        <v>52500</v>
      </c>
      <c r="D30" s="45"/>
      <c r="E30" s="51"/>
      <c r="F30" s="22"/>
      <c r="G30" s="45"/>
      <c r="H30" s="22"/>
      <c r="I30" s="44"/>
      <c r="J30" s="44"/>
      <c r="K30" s="51"/>
      <c r="L30" s="21"/>
      <c r="M30" s="56" t="s">
        <v>66</v>
      </c>
    </row>
    <row r="31" spans="1:13" s="29" customFormat="1" x14ac:dyDescent="0.25">
      <c r="A31" s="23">
        <v>24</v>
      </c>
      <c r="B31" s="55" t="s">
        <v>63</v>
      </c>
      <c r="C31" s="46">
        <v>49500</v>
      </c>
      <c r="D31" s="45"/>
      <c r="E31" s="51"/>
      <c r="F31" s="22"/>
      <c r="G31" s="45"/>
      <c r="H31" s="22"/>
      <c r="I31" s="44"/>
      <c r="J31" s="51"/>
      <c r="K31" s="51"/>
      <c r="L31" s="21"/>
      <c r="M31" s="56" t="s">
        <v>65</v>
      </c>
    </row>
    <row r="32" spans="1:13" s="29" customFormat="1" x14ac:dyDescent="0.25">
      <c r="A32" s="23">
        <v>25</v>
      </c>
      <c r="B32" s="55" t="s">
        <v>64</v>
      </c>
      <c r="C32" s="46">
        <v>48000</v>
      </c>
      <c r="D32" s="45"/>
      <c r="E32" s="51"/>
      <c r="F32" s="22"/>
      <c r="G32" s="45"/>
      <c r="H32" s="45"/>
      <c r="I32" s="44"/>
      <c r="J32" s="51"/>
      <c r="K32" s="51"/>
      <c r="L32" s="21"/>
      <c r="M32" s="56" t="s">
        <v>65</v>
      </c>
    </row>
    <row r="33" spans="1:12" s="64" customFormat="1" ht="12.75" x14ac:dyDescent="0.2">
      <c r="A33" s="60"/>
      <c r="B33" s="61" t="s">
        <v>25</v>
      </c>
      <c r="C33" s="61"/>
      <c r="D33" s="62">
        <v>123646.29</v>
      </c>
      <c r="E33" s="62">
        <v>7200460716.8500004</v>
      </c>
      <c r="F33" s="62">
        <f>F26+F27+F28</f>
        <v>1829.17</v>
      </c>
      <c r="G33" s="62">
        <f>G26+G27+G28</f>
        <v>100604350</v>
      </c>
      <c r="H33" s="62">
        <f>H7+H8+H9+H10+H12+H14+H20+H21+H22+H23+H27</f>
        <v>14555.7</v>
      </c>
      <c r="I33" s="62">
        <f t="shared" ref="I33" si="4">I7+I8+I9+I10+I12+I14+I20+I21+I22+I23+I27</f>
        <v>0</v>
      </c>
      <c r="J33" s="62">
        <f>J7+J8+J9+J10+J12+J14+J20+J21+J22+J27+J28+J23+J26</f>
        <v>130267.29000000001</v>
      </c>
      <c r="K33" s="62">
        <f>K7+K8+K9+K10+K12+K14+K20+K21+K22+K27+K28+K23+K26</f>
        <v>7013243589.6199999</v>
      </c>
      <c r="L33" s="63"/>
    </row>
    <row r="34" spans="1:12" x14ac:dyDescent="0.25">
      <c r="D34" s="24"/>
    </row>
    <row r="35" spans="1:12" x14ac:dyDescent="0.25">
      <c r="G35" s="27"/>
      <c r="H35" s="27"/>
      <c r="J35" s="24"/>
    </row>
    <row r="36" spans="1:12" x14ac:dyDescent="0.25">
      <c r="G36" s="27"/>
      <c r="H36" s="27"/>
      <c r="J36" s="24"/>
    </row>
    <row r="37" spans="1:12" x14ac:dyDescent="0.25">
      <c r="G37" s="27"/>
      <c r="H37" s="27"/>
    </row>
    <row r="38" spans="1:12" x14ac:dyDescent="0.25">
      <c r="G38" s="27"/>
      <c r="H38" s="27"/>
    </row>
    <row r="39" spans="1:12" x14ac:dyDescent="0.25">
      <c r="G39" s="27"/>
    </row>
    <row r="40" spans="1:12" x14ac:dyDescent="0.25">
      <c r="G40" s="27"/>
    </row>
    <row r="41" spans="1:12" x14ac:dyDescent="0.25">
      <c r="G41" s="27"/>
    </row>
    <row r="42" spans="1:12" x14ac:dyDescent="0.25">
      <c r="G42" s="27"/>
    </row>
    <row r="43" spans="1:12" x14ac:dyDescent="0.25">
      <c r="G43" s="27"/>
    </row>
  </sheetData>
  <mergeCells count="8">
    <mergeCell ref="L5:L6"/>
    <mergeCell ref="G3:H3"/>
    <mergeCell ref="A5:A6"/>
    <mergeCell ref="B5:B6"/>
    <mergeCell ref="D5:E5"/>
    <mergeCell ref="F5:G5"/>
    <mergeCell ref="H5:I5"/>
    <mergeCell ref="J5:K5"/>
  </mergeCells>
  <conditionalFormatting sqref="E7:J7 I24:I32 I8:I22 E8:E28 E30:E32 J8:J32">
    <cfRule type="expression" dxfId="16" priority="4">
      <formula>AND(($O7-TODAY())&lt;90,NOT(ISBLANK($O7)))</formula>
    </cfRule>
  </conditionalFormatting>
  <conditionalFormatting sqref="K7:K32">
    <cfRule type="expression" dxfId="15" priority="3">
      <formula>AND(($O7-TODAY())&lt;90,NOT(ISBLANK($O7)))</formula>
    </cfRule>
  </conditionalFormatting>
  <conditionalFormatting sqref="D29">
    <cfRule type="expression" dxfId="14" priority="2">
      <formula>AND(($O29-TODAY())&lt;90,NOT(ISBLANK($O29)))</formula>
    </cfRule>
  </conditionalFormatting>
  <conditionalFormatting sqref="E29">
    <cfRule type="expression" dxfId="13" priority="1">
      <formula>AND(($O29-TODAY())&lt;90,NOT(ISBLANK($O29)))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32"/>
  <sheetViews>
    <sheetView workbookViewId="0">
      <selection activeCell="H14" sqref="H14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4.285156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129" t="s">
        <v>69</v>
      </c>
      <c r="H4" s="129"/>
    </row>
    <row r="5" spans="1:13" s="2" customFormat="1" x14ac:dyDescent="0.25"/>
    <row r="6" spans="1:13" s="2" customFormat="1" x14ac:dyDescent="0.25">
      <c r="A6" s="125" t="s">
        <v>0</v>
      </c>
      <c r="B6" s="125" t="s">
        <v>18</v>
      </c>
      <c r="C6" s="18" t="s">
        <v>34</v>
      </c>
      <c r="D6" s="127" t="s">
        <v>33</v>
      </c>
      <c r="E6" s="128"/>
      <c r="F6" s="127" t="s">
        <v>21</v>
      </c>
      <c r="G6" s="128"/>
      <c r="H6" s="127" t="s">
        <v>22</v>
      </c>
      <c r="I6" s="128"/>
      <c r="J6" s="127" t="s">
        <v>23</v>
      </c>
      <c r="K6" s="128"/>
      <c r="L6" s="125" t="s">
        <v>24</v>
      </c>
      <c r="M6" s="3"/>
    </row>
    <row r="7" spans="1:13" s="2" customFormat="1" x14ac:dyDescent="0.25">
      <c r="A7" s="126"/>
      <c r="B7" s="126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126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1364.6200000000008</v>
      </c>
      <c r="E8" s="51">
        <f>D8*C8</f>
        <v>45032460.00000003</v>
      </c>
      <c r="F8" s="44"/>
      <c r="G8" s="44"/>
      <c r="H8" s="44">
        <v>897.34</v>
      </c>
      <c r="I8" s="51">
        <f>H8*C8</f>
        <v>29612220</v>
      </c>
      <c r="J8" s="44">
        <f>D8+F8-H8</f>
        <v>467.28000000000077</v>
      </c>
      <c r="K8" s="51">
        <f>E8+F8-H8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f t="shared" ref="E9:E24" si="0">D9*C9</f>
        <v>263484000</v>
      </c>
      <c r="F9" s="22"/>
      <c r="G9" s="22"/>
      <c r="H9" s="22"/>
      <c r="I9" s="51">
        <f t="shared" ref="I9:I25" si="1">H9*C9</f>
        <v>0</v>
      </c>
      <c r="J9" s="44">
        <f t="shared" ref="J9:J20" si="2">D9+F9-H9</f>
        <v>5067</v>
      </c>
      <c r="K9" s="51">
        <f t="shared" ref="K9:K25" si="3">E9+F9-H9</f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12150</v>
      </c>
      <c r="E10" s="51">
        <f t="shared" si="0"/>
        <v>862650000</v>
      </c>
      <c r="F10" s="22"/>
      <c r="G10" s="22"/>
      <c r="H10" s="22">
        <v>400</v>
      </c>
      <c r="I10" s="51">
        <f t="shared" si="1"/>
        <v>28400000</v>
      </c>
      <c r="J10" s="44">
        <f t="shared" si="2"/>
        <v>11750</v>
      </c>
      <c r="K10" s="51">
        <f t="shared" si="3"/>
        <v>862649600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71">
        <v>27113.08</v>
      </c>
      <c r="E11" s="51">
        <f t="shared" si="0"/>
        <v>1005488571.8000001</v>
      </c>
      <c r="F11" s="22"/>
      <c r="G11" s="45"/>
      <c r="H11" s="22"/>
      <c r="I11" s="51">
        <f t="shared" si="1"/>
        <v>0</v>
      </c>
      <c r="J11" s="44">
        <f t="shared" si="2"/>
        <v>27113.08</v>
      </c>
      <c r="K11" s="51">
        <f t="shared" si="3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71">
        <v>27988.03</v>
      </c>
      <c r="E12" s="51">
        <f t="shared" si="0"/>
        <v>1037936092.55</v>
      </c>
      <c r="F12" s="22"/>
      <c r="G12" s="45"/>
      <c r="H12" s="70"/>
      <c r="I12" s="51">
        <f t="shared" si="1"/>
        <v>0</v>
      </c>
      <c r="J12" s="44">
        <f t="shared" si="2"/>
        <v>27988.03</v>
      </c>
      <c r="K12" s="51">
        <f t="shared" si="3"/>
        <v>1037936092.55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3264</v>
      </c>
      <c r="E13" s="51">
        <f t="shared" si="0"/>
        <v>153408000</v>
      </c>
      <c r="F13" s="22"/>
      <c r="G13" s="45">
        <f>F13*C13</f>
        <v>0</v>
      </c>
      <c r="H13" s="22">
        <v>2176</v>
      </c>
      <c r="I13" s="51">
        <f t="shared" si="1"/>
        <v>102272000</v>
      </c>
      <c r="J13" s="44">
        <f t="shared" si="2"/>
        <v>1088</v>
      </c>
      <c r="K13" s="51">
        <f t="shared" si="3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2000</v>
      </c>
      <c r="E14" s="51">
        <f t="shared" si="0"/>
        <v>86000000</v>
      </c>
      <c r="H14" s="59">
        <v>700</v>
      </c>
      <c r="I14" s="51">
        <f t="shared" si="1"/>
        <v>30100000</v>
      </c>
      <c r="J14" s="44">
        <f t="shared" si="2"/>
        <v>1300</v>
      </c>
      <c r="K14" s="51">
        <f t="shared" si="3"/>
        <v>85999300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24923.55</v>
      </c>
      <c r="E15" s="51">
        <f t="shared" si="0"/>
        <v>1196330400</v>
      </c>
      <c r="F15" s="22"/>
      <c r="G15" s="45"/>
      <c r="H15" s="22">
        <v>9278</v>
      </c>
      <c r="I15" s="51">
        <f t="shared" si="1"/>
        <v>445344000</v>
      </c>
      <c r="J15" s="44">
        <f t="shared" si="2"/>
        <v>15645.55</v>
      </c>
      <c r="K15" s="51">
        <f t="shared" si="3"/>
        <v>1196321122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>
        <v>554.92999999999995</v>
      </c>
      <c r="E16" s="51">
        <f t="shared" si="0"/>
        <v>80742315</v>
      </c>
      <c r="F16" s="22">
        <v>661.52</v>
      </c>
      <c r="G16" s="45">
        <f t="shared" ref="G16:G18" si="4">C16*F16</f>
        <v>96251160</v>
      </c>
      <c r="H16" s="22">
        <v>554.92999999999995</v>
      </c>
      <c r="I16" s="51">
        <f t="shared" si="1"/>
        <v>80742315</v>
      </c>
      <c r="J16" s="44"/>
      <c r="K16" s="51"/>
      <c r="L16" s="21"/>
      <c r="M16" s="29" t="s">
        <v>68</v>
      </c>
    </row>
    <row r="17" spans="1:16" s="29" customFormat="1" x14ac:dyDescent="0.25">
      <c r="A17" s="23"/>
      <c r="B17" s="21" t="s">
        <v>59</v>
      </c>
      <c r="C17" s="46">
        <v>165000</v>
      </c>
      <c r="D17" s="22"/>
      <c r="E17" s="51"/>
      <c r="F17" s="22">
        <v>661.52</v>
      </c>
      <c r="G17" s="45">
        <f t="shared" ref="G17" si="5">C17*F17</f>
        <v>109150800</v>
      </c>
      <c r="H17" s="22">
        <v>661.52</v>
      </c>
      <c r="I17" s="51">
        <f t="shared" si="1"/>
        <v>109150800</v>
      </c>
      <c r="J17" s="44"/>
      <c r="K17" s="51"/>
      <c r="L17" s="21"/>
    </row>
    <row r="18" spans="1:16" s="29" customFormat="1" x14ac:dyDescent="0.25">
      <c r="A18" s="23">
        <v>10</v>
      </c>
      <c r="B18" s="53" t="s">
        <v>60</v>
      </c>
      <c r="C18" s="46">
        <v>55000</v>
      </c>
      <c r="D18" s="22"/>
      <c r="E18" s="51">
        <f t="shared" si="0"/>
        <v>0</v>
      </c>
      <c r="F18" s="22"/>
      <c r="G18" s="45">
        <f t="shared" si="4"/>
        <v>0</v>
      </c>
      <c r="H18" s="22"/>
      <c r="I18" s="51">
        <f t="shared" si="1"/>
        <v>0</v>
      </c>
      <c r="J18" s="44">
        <f t="shared" si="2"/>
        <v>0</v>
      </c>
      <c r="K18" s="51">
        <f t="shared" si="3"/>
        <v>0</v>
      </c>
      <c r="L18" s="21"/>
    </row>
    <row r="19" spans="1:16" s="29" customFormat="1" x14ac:dyDescent="0.25">
      <c r="A19" s="23">
        <v>11</v>
      </c>
      <c r="B19" s="21" t="s">
        <v>73</v>
      </c>
      <c r="C19" s="46">
        <v>38000</v>
      </c>
      <c r="D19" s="22">
        <v>13700.800000000001</v>
      </c>
      <c r="E19" s="51">
        <f t="shared" si="0"/>
        <v>520630400.00000006</v>
      </c>
      <c r="F19" s="22"/>
      <c r="G19" s="45"/>
      <c r="H19" s="22">
        <v>13700.8</v>
      </c>
      <c r="I19" s="51">
        <f t="shared" si="1"/>
        <v>520630400</v>
      </c>
      <c r="J19" s="44">
        <f t="shared" si="2"/>
        <v>0</v>
      </c>
      <c r="K19" s="51"/>
      <c r="L19" s="21"/>
      <c r="M19" s="29" t="s">
        <v>74</v>
      </c>
    </row>
    <row r="20" spans="1:16" s="29" customFormat="1" x14ac:dyDescent="0.25">
      <c r="A20" s="23">
        <v>12</v>
      </c>
      <c r="B20" s="21" t="s">
        <v>73</v>
      </c>
      <c r="C20" s="46">
        <v>38000</v>
      </c>
      <c r="D20" s="69">
        <v>21176.7</v>
      </c>
      <c r="E20" s="51">
        <f t="shared" si="0"/>
        <v>804714600</v>
      </c>
      <c r="F20" s="22"/>
      <c r="G20" s="45"/>
      <c r="H20" s="22">
        <v>3768.1</v>
      </c>
      <c r="I20" s="51">
        <f t="shared" si="1"/>
        <v>143187800</v>
      </c>
      <c r="J20" s="44">
        <f t="shared" si="2"/>
        <v>17408.600000000002</v>
      </c>
      <c r="K20" s="51">
        <f t="shared" si="3"/>
        <v>804710831.89999998</v>
      </c>
      <c r="L20" s="21"/>
      <c r="M20" s="29" t="s">
        <v>75</v>
      </c>
    </row>
    <row r="21" spans="1:16" s="29" customFormat="1" x14ac:dyDescent="0.25">
      <c r="A21" s="23">
        <v>13</v>
      </c>
      <c r="B21" s="55" t="s">
        <v>67</v>
      </c>
      <c r="C21" s="46">
        <v>52500</v>
      </c>
      <c r="D21" s="22"/>
      <c r="E21" s="51">
        <f t="shared" si="0"/>
        <v>0</v>
      </c>
      <c r="F21" s="22">
        <v>24930</v>
      </c>
      <c r="G21" s="45"/>
      <c r="H21" s="22"/>
      <c r="I21" s="51">
        <f t="shared" si="1"/>
        <v>0</v>
      </c>
      <c r="J21" s="44"/>
      <c r="K21" s="44">
        <f t="shared" si="3"/>
        <v>24930</v>
      </c>
      <c r="L21" s="21"/>
      <c r="M21" s="17" t="s">
        <v>79</v>
      </c>
      <c r="N21" s="17"/>
      <c r="O21" s="17"/>
      <c r="P21" s="17"/>
    </row>
    <row r="22" spans="1:16" s="29" customFormat="1" x14ac:dyDescent="0.25">
      <c r="A22" s="23">
        <v>14</v>
      </c>
      <c r="B22" s="73" t="s">
        <v>63</v>
      </c>
      <c r="C22" s="46">
        <v>49500</v>
      </c>
      <c r="D22" s="22"/>
      <c r="E22" s="51">
        <f t="shared" si="0"/>
        <v>0</v>
      </c>
      <c r="F22" s="22">
        <v>9613.68</v>
      </c>
      <c r="G22" s="45"/>
      <c r="H22" s="22"/>
      <c r="I22" s="51">
        <f t="shared" si="1"/>
        <v>0</v>
      </c>
      <c r="J22" s="51"/>
      <c r="K22" s="44">
        <f t="shared" si="3"/>
        <v>9613.68</v>
      </c>
      <c r="L22" s="21"/>
      <c r="M22" s="17" t="s">
        <v>78</v>
      </c>
      <c r="N22" s="17"/>
      <c r="O22" s="17"/>
      <c r="P22" s="17"/>
    </row>
    <row r="23" spans="1:16" s="29" customFormat="1" x14ac:dyDescent="0.25">
      <c r="A23" s="23">
        <v>15</v>
      </c>
      <c r="B23" s="73" t="s">
        <v>64</v>
      </c>
      <c r="C23" s="46">
        <v>48000</v>
      </c>
      <c r="D23" s="22"/>
      <c r="E23" s="51">
        <f t="shared" si="0"/>
        <v>0</v>
      </c>
      <c r="F23" s="22">
        <v>17370</v>
      </c>
      <c r="G23" s="45"/>
      <c r="H23" s="45"/>
      <c r="I23" s="51">
        <f t="shared" si="1"/>
        <v>0</v>
      </c>
      <c r="J23" s="51"/>
      <c r="K23" s="44">
        <f t="shared" si="3"/>
        <v>17370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16</v>
      </c>
      <c r="B24" s="55" t="s">
        <v>76</v>
      </c>
      <c r="C24" s="46">
        <v>155000</v>
      </c>
      <c r="D24" s="22"/>
      <c r="E24" s="51">
        <f t="shared" si="0"/>
        <v>0</v>
      </c>
      <c r="F24" s="22"/>
      <c r="G24" s="45"/>
      <c r="H24" s="45"/>
      <c r="I24" s="51">
        <f t="shared" si="1"/>
        <v>0</v>
      </c>
      <c r="J24" s="51"/>
      <c r="K24" s="51">
        <f t="shared" si="3"/>
        <v>0</v>
      </c>
      <c r="L24" s="21"/>
      <c r="M24" s="17" t="s">
        <v>77</v>
      </c>
      <c r="N24" s="17"/>
      <c r="O24" s="17"/>
      <c r="P24" s="17"/>
    </row>
    <row r="25" spans="1:16" s="29" customFormat="1" x14ac:dyDescent="0.25">
      <c r="A25" s="23"/>
      <c r="B25" s="73" t="s">
        <v>82</v>
      </c>
      <c r="C25" s="46"/>
      <c r="D25" s="22"/>
      <c r="E25" s="51"/>
      <c r="F25" s="22">
        <v>1812.74</v>
      </c>
      <c r="G25" s="45"/>
      <c r="H25" s="45"/>
      <c r="I25" s="51">
        <f t="shared" si="1"/>
        <v>0</v>
      </c>
      <c r="J25" s="51"/>
      <c r="K25" s="44">
        <f t="shared" si="3"/>
        <v>1812.74</v>
      </c>
      <c r="L25" s="21"/>
      <c r="M25" s="17"/>
      <c r="N25" s="17"/>
      <c r="O25" s="17"/>
      <c r="P25" s="17"/>
    </row>
    <row r="26" spans="1:16" s="64" customFormat="1" x14ac:dyDescent="0.25">
      <c r="A26" s="60"/>
      <c r="B26" s="61" t="s">
        <v>25</v>
      </c>
      <c r="C26" s="61"/>
      <c r="D26" s="62">
        <f t="shared" ref="D26:K26" si="6">SUM(D8:D24)</f>
        <v>139302.71000000002</v>
      </c>
      <c r="E26" s="51">
        <f t="shared" si="6"/>
        <v>6056416839.3500004</v>
      </c>
      <c r="F26" s="51">
        <f t="shared" si="6"/>
        <v>53236.72</v>
      </c>
      <c r="G26" s="51">
        <f t="shared" si="6"/>
        <v>205401960</v>
      </c>
      <c r="H26" s="44">
        <f t="shared" si="6"/>
        <v>32136.69</v>
      </c>
      <c r="I26" s="51">
        <f t="shared" si="6"/>
        <v>1489439535</v>
      </c>
      <c r="J26" s="44">
        <f t="shared" si="6"/>
        <v>107827.54000000001</v>
      </c>
      <c r="K26" s="51">
        <f t="shared" si="6"/>
        <v>5455078818.5900002</v>
      </c>
      <c r="L26" s="63"/>
    </row>
    <row r="27" spans="1:16" x14ac:dyDescent="0.25">
      <c r="D27" s="72"/>
    </row>
    <row r="29" spans="1:16" x14ac:dyDescent="0.25">
      <c r="E29" s="24"/>
    </row>
    <row r="32" spans="1:16" x14ac:dyDescent="0.25">
      <c r="D32" s="24"/>
    </row>
  </sheetData>
  <mergeCells count="8"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E8:J8 K8:K25 E9:E26 F26:K26 I9:K25">
    <cfRule type="expression" dxfId="12" priority="4">
      <formula>AND(($O8-TODAY())&lt;90,NOT(ISBLANK($O8)))</formula>
    </cfRule>
  </conditionalFormatting>
  <conditionalFormatting sqref="D20">
    <cfRule type="expression" dxfId="11" priority="2">
      <formula>AND(($O20-TODAY())&lt;90,NOT(ISBLANK($O20)))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38"/>
  <sheetViews>
    <sheetView zoomScale="93" zoomScaleNormal="93" workbookViewId="0">
      <selection activeCell="F23" sqref="F23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129" t="s">
        <v>84</v>
      </c>
      <c r="H4" s="129"/>
    </row>
    <row r="5" spans="1:13" s="2" customFormat="1" x14ac:dyDescent="0.25"/>
    <row r="6" spans="1:13" s="2" customFormat="1" x14ac:dyDescent="0.25">
      <c r="A6" s="125" t="s">
        <v>0</v>
      </c>
      <c r="B6" s="125" t="s">
        <v>18</v>
      </c>
      <c r="C6" s="18" t="s">
        <v>34</v>
      </c>
      <c r="D6" s="127" t="s">
        <v>33</v>
      </c>
      <c r="E6" s="128"/>
      <c r="F6" s="127" t="s">
        <v>21</v>
      </c>
      <c r="G6" s="128"/>
      <c r="H6" s="127" t="s">
        <v>22</v>
      </c>
      <c r="I6" s="128"/>
      <c r="J6" s="127" t="s">
        <v>23</v>
      </c>
      <c r="K6" s="128"/>
      <c r="L6" s="125" t="s">
        <v>24</v>
      </c>
      <c r="M6" s="3"/>
    </row>
    <row r="7" spans="1:13" s="2" customFormat="1" x14ac:dyDescent="0.25">
      <c r="A7" s="126"/>
      <c r="B7" s="126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126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/>
      <c r="I8" s="51">
        <f>H8*C8</f>
        <v>0</v>
      </c>
      <c r="J8" s="44">
        <f>D8+F8-H8</f>
        <v>467.28000000000077</v>
      </c>
      <c r="K8" s="51">
        <f>E8+G8-I8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8" si="0">H9*C9</f>
        <v>0</v>
      </c>
      <c r="J9" s="44">
        <f t="shared" ref="J9:J20" si="1">D9+F9-H9</f>
        <v>5067</v>
      </c>
      <c r="K9" s="51">
        <f t="shared" ref="K9:K31" si="2">E9+G9-I9</f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11750</v>
      </c>
      <c r="E10" s="51">
        <v>862649600</v>
      </c>
      <c r="F10" s="22"/>
      <c r="G10" s="22"/>
      <c r="H10" s="22">
        <f>500+500+1500</f>
        <v>2500</v>
      </c>
      <c r="I10" s="51">
        <f t="shared" si="0"/>
        <v>177500000</v>
      </c>
      <c r="J10" s="44">
        <f t="shared" si="1"/>
        <v>9250</v>
      </c>
      <c r="K10" s="51">
        <f t="shared" si="2"/>
        <v>685149600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22">
        <v>27113.08</v>
      </c>
      <c r="E11" s="51">
        <v>1005488571.8000001</v>
      </c>
      <c r="F11" s="22"/>
      <c r="G11" s="45"/>
      <c r="H11" s="22"/>
      <c r="I11" s="51">
        <f t="shared" si="0"/>
        <v>0</v>
      </c>
      <c r="J11" s="44">
        <f t="shared" si="1"/>
        <v>27113.08</v>
      </c>
      <c r="K11" s="51">
        <f t="shared" si="2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27988.03</v>
      </c>
      <c r="E12" s="51">
        <v>1037936092.55</v>
      </c>
      <c r="F12" s="22"/>
      <c r="G12" s="45"/>
      <c r="H12" s="22">
        <f>8543.52</f>
        <v>8543.52</v>
      </c>
      <c r="I12" s="51">
        <f t="shared" si="0"/>
        <v>316836439.19999999</v>
      </c>
      <c r="J12" s="44">
        <f t="shared" si="1"/>
        <v>19444.509999999998</v>
      </c>
      <c r="K12" s="51">
        <f t="shared" si="2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2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1300</v>
      </c>
      <c r="E14" s="51">
        <v>85999300</v>
      </c>
      <c r="H14" s="59">
        <v>1300</v>
      </c>
      <c r="I14" s="51">
        <f>E14</f>
        <v>85999300</v>
      </c>
      <c r="J14" s="44">
        <f t="shared" si="1"/>
        <v>0</v>
      </c>
      <c r="K14" s="51">
        <f t="shared" si="2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15645.55</v>
      </c>
      <c r="E15" s="51">
        <v>1196321122</v>
      </c>
      <c r="F15" s="22"/>
      <c r="G15" s="45"/>
      <c r="H15" s="22">
        <f>8297.05+7348.5</f>
        <v>15645.55</v>
      </c>
      <c r="I15" s="51">
        <f>E15</f>
        <v>1196321122</v>
      </c>
      <c r="J15" s="44">
        <f t="shared" si="1"/>
        <v>0</v>
      </c>
      <c r="K15" s="51">
        <f t="shared" si="2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/>
      <c r="F16" s="22"/>
      <c r="G16" s="45">
        <f t="shared" ref="G16:G18" si="3">C16*F16</f>
        <v>0</v>
      </c>
      <c r="H16" s="22"/>
      <c r="I16" s="51">
        <f t="shared" si="0"/>
        <v>0</v>
      </c>
      <c r="J16" s="44"/>
      <c r="K16" s="51">
        <f t="shared" si="2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/>
      <c r="F17" s="22"/>
      <c r="G17" s="45">
        <f t="shared" si="3"/>
        <v>0</v>
      </c>
      <c r="H17" s="22"/>
      <c r="I17" s="51">
        <f t="shared" si="0"/>
        <v>0</v>
      </c>
      <c r="J17" s="44"/>
      <c r="K17" s="51">
        <f t="shared" si="2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3"/>
        <v>0</v>
      </c>
      <c r="H18" s="22"/>
      <c r="I18" s="51">
        <f t="shared" si="0"/>
        <v>0</v>
      </c>
      <c r="J18" s="44">
        <f t="shared" si="1"/>
        <v>0</v>
      </c>
      <c r="K18" s="51">
        <f t="shared" si="2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46">
        <v>38000</v>
      </c>
      <c r="D19" s="22">
        <v>0</v>
      </c>
      <c r="E19" s="51"/>
      <c r="F19" s="22">
        <f>2639.6+1319.8</f>
        <v>3959.3999999999996</v>
      </c>
      <c r="G19" s="45">
        <f>F19*C19</f>
        <v>150457200</v>
      </c>
      <c r="H19" s="22">
        <v>3959.4</v>
      </c>
      <c r="I19" s="51">
        <f t="shared" si="0"/>
        <v>150457200</v>
      </c>
      <c r="J19" s="44">
        <f t="shared" si="1"/>
        <v>0</v>
      </c>
      <c r="K19" s="51">
        <f t="shared" si="2"/>
        <v>0</v>
      </c>
      <c r="L19" s="21"/>
      <c r="M19" s="29" t="s">
        <v>83</v>
      </c>
    </row>
    <row r="20" spans="1:16" s="29" customFormat="1" x14ac:dyDescent="0.25">
      <c r="A20" s="23">
        <v>13</v>
      </c>
      <c r="B20" s="21" t="s">
        <v>73</v>
      </c>
      <c r="C20" s="46">
        <v>38000</v>
      </c>
      <c r="D20" s="44">
        <v>17408.600000000002</v>
      </c>
      <c r="E20" s="51">
        <v>804710831.89999998</v>
      </c>
      <c r="F20" s="22"/>
      <c r="G20" s="45">
        <f t="shared" ref="G20:G21" si="4">F20*C20</f>
        <v>0</v>
      </c>
      <c r="H20" s="22">
        <f>13698.9+3709.7</f>
        <v>17408.599999999999</v>
      </c>
      <c r="I20" s="51">
        <f>E20</f>
        <v>804710831.89999998</v>
      </c>
      <c r="J20" s="44">
        <f t="shared" si="1"/>
        <v>0</v>
      </c>
      <c r="K20" s="51">
        <f t="shared" si="2"/>
        <v>0</v>
      </c>
      <c r="L20" s="21"/>
      <c r="M20" s="29" t="s">
        <v>75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/>
      <c r="E21" s="51"/>
      <c r="F21" s="22">
        <v>21184.2</v>
      </c>
      <c r="G21" s="45">
        <f t="shared" si="4"/>
        <v>804999600</v>
      </c>
      <c r="H21" s="22">
        <f>5710+12058.3</f>
        <v>17768.3</v>
      </c>
      <c r="I21" s="51">
        <f>H21*C21</f>
        <v>675195400</v>
      </c>
      <c r="J21" s="44">
        <f t="shared" ref="J21" si="5">D21+F21-H21</f>
        <v>3415.9000000000015</v>
      </c>
      <c r="K21" s="51">
        <f t="shared" si="2"/>
        <v>129804200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107</v>
      </c>
      <c r="C22" s="46">
        <v>52500</v>
      </c>
      <c r="D22" s="86">
        <v>24930</v>
      </c>
      <c r="E22" s="51">
        <v>1308825000</v>
      </c>
      <c r="F22" s="22"/>
      <c r="G22" s="45"/>
      <c r="H22" s="22">
        <f>1505.3+2250</f>
        <v>3755.3</v>
      </c>
      <c r="I22" s="51">
        <f t="shared" si="0"/>
        <v>197153250</v>
      </c>
      <c r="J22" s="44">
        <f>D22+F22-H22</f>
        <v>21174.7</v>
      </c>
      <c r="K22" s="51">
        <f t="shared" si="2"/>
        <v>1111671750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9613.68</v>
      </c>
      <c r="E23" s="51">
        <v>475877160</v>
      </c>
      <c r="F23" s="22"/>
      <c r="G23" s="45"/>
      <c r="H23" s="22">
        <f>500+500+500</f>
        <v>1500</v>
      </c>
      <c r="I23" s="51">
        <f t="shared" si="0"/>
        <v>74250000</v>
      </c>
      <c r="J23" s="44">
        <f t="shared" ref="J23:J28" si="6">D23+F23-H23</f>
        <v>8113.68</v>
      </c>
      <c r="K23" s="51">
        <f t="shared" si="2"/>
        <v>401627160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17370</v>
      </c>
      <c r="E24" s="51">
        <v>833760000</v>
      </c>
      <c r="F24" s="22"/>
      <c r="G24" s="45"/>
      <c r="H24" s="45">
        <f>1088+1012.73</f>
        <v>2100.73</v>
      </c>
      <c r="I24" s="51">
        <f t="shared" si="0"/>
        <v>100835040</v>
      </c>
      <c r="J24" s="44">
        <f t="shared" si="6"/>
        <v>15269.27</v>
      </c>
      <c r="K24" s="51">
        <f t="shared" si="2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22"/>
      <c r="E25" s="51">
        <v>0</v>
      </c>
      <c r="F25" s="75">
        <v>3488.98</v>
      </c>
      <c r="G25" s="45">
        <f>F25*C25</f>
        <v>547769860</v>
      </c>
      <c r="H25" s="45">
        <f>663</f>
        <v>663</v>
      </c>
      <c r="I25" s="51">
        <f t="shared" si="0"/>
        <v>104091000</v>
      </c>
      <c r="J25" s="44">
        <f t="shared" si="6"/>
        <v>2825.98</v>
      </c>
      <c r="K25" s="51">
        <f t="shared" si="2"/>
        <v>443678860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37000</v>
      </c>
      <c r="D26" s="22"/>
      <c r="E26" s="51"/>
      <c r="F26" s="75">
        <v>21096</v>
      </c>
      <c r="G26" s="45">
        <f>F26*C26</f>
        <v>780552000</v>
      </c>
      <c r="H26" s="45"/>
      <c r="I26" s="51">
        <f t="shared" si="0"/>
        <v>0</v>
      </c>
      <c r="J26" s="44">
        <f t="shared" si="6"/>
        <v>21096</v>
      </c>
      <c r="K26" s="51">
        <f t="shared" si="2"/>
        <v>780552000</v>
      </c>
      <c r="L26" s="21"/>
      <c r="M26" s="17" t="s">
        <v>93</v>
      </c>
      <c r="N26" s="17"/>
      <c r="O26" s="17"/>
      <c r="P26" s="17"/>
    </row>
    <row r="27" spans="1:16" s="29" customFormat="1" x14ac:dyDescent="0.25">
      <c r="A27" s="23">
        <v>20</v>
      </c>
      <c r="B27" s="55" t="s">
        <v>88</v>
      </c>
      <c r="C27" s="76">
        <v>168000</v>
      </c>
      <c r="D27" s="77"/>
      <c r="E27" s="78"/>
      <c r="F27" s="77"/>
      <c r="G27" s="79"/>
      <c r="H27" s="79"/>
      <c r="I27" s="78">
        <f t="shared" si="0"/>
        <v>0</v>
      </c>
      <c r="J27" s="80"/>
      <c r="K27" s="51">
        <f t="shared" si="2"/>
        <v>0</v>
      </c>
      <c r="L27" s="54"/>
      <c r="M27" s="81" t="s">
        <v>89</v>
      </c>
      <c r="N27" s="81"/>
      <c r="O27" s="17"/>
      <c r="P27" s="17"/>
    </row>
    <row r="28" spans="1:16" s="29" customFormat="1" x14ac:dyDescent="0.25">
      <c r="A28" s="23">
        <v>21</v>
      </c>
      <c r="B28" s="73" t="s">
        <v>82</v>
      </c>
      <c r="C28" s="46">
        <v>165000</v>
      </c>
      <c r="D28" s="22">
        <v>1812.74</v>
      </c>
      <c r="E28" s="51">
        <f>D28*C28</f>
        <v>299102100</v>
      </c>
      <c r="F28" s="22"/>
      <c r="G28" s="45"/>
      <c r="H28" s="22">
        <f>479.14+1333.6</f>
        <v>1812.7399999999998</v>
      </c>
      <c r="I28" s="51">
        <f t="shared" si="0"/>
        <v>299102099.99999994</v>
      </c>
      <c r="J28" s="44">
        <f t="shared" si="6"/>
        <v>0</v>
      </c>
      <c r="K28" s="51">
        <f t="shared" si="2"/>
        <v>0</v>
      </c>
      <c r="L28" s="21"/>
    </row>
    <row r="29" spans="1:16" s="29" customFormat="1" x14ac:dyDescent="0.25">
      <c r="A29" s="23">
        <v>22</v>
      </c>
      <c r="B29" s="54" t="s">
        <v>73</v>
      </c>
      <c r="C29" s="76">
        <v>39000</v>
      </c>
      <c r="D29" s="77"/>
      <c r="E29" s="78"/>
      <c r="F29" s="77"/>
      <c r="G29" s="79"/>
      <c r="H29" s="77"/>
      <c r="I29" s="78"/>
      <c r="J29" s="80"/>
      <c r="K29" s="51">
        <f t="shared" si="2"/>
        <v>0</v>
      </c>
      <c r="L29" s="54"/>
      <c r="M29" s="81" t="s">
        <v>90</v>
      </c>
      <c r="N29" s="81"/>
      <c r="O29" s="81"/>
      <c r="P29" s="81"/>
    </row>
    <row r="30" spans="1:16" s="29" customFormat="1" x14ac:dyDescent="0.25">
      <c r="A30" s="23">
        <v>23</v>
      </c>
      <c r="B30" s="54" t="s">
        <v>73</v>
      </c>
      <c r="C30" s="76">
        <v>39000</v>
      </c>
      <c r="D30" s="77"/>
      <c r="E30" s="78"/>
      <c r="F30" s="77"/>
      <c r="G30" s="79"/>
      <c r="H30" s="77"/>
      <c r="I30" s="78"/>
      <c r="J30" s="80"/>
      <c r="K30" s="51">
        <f t="shared" si="2"/>
        <v>0</v>
      </c>
      <c r="L30" s="54"/>
      <c r="M30" s="81" t="s">
        <v>91</v>
      </c>
      <c r="N30" s="81"/>
      <c r="O30" s="81"/>
      <c r="P30" s="81"/>
    </row>
    <row r="31" spans="1:16" s="29" customFormat="1" x14ac:dyDescent="0.25">
      <c r="A31" s="23">
        <v>24</v>
      </c>
      <c r="B31" s="54" t="s">
        <v>5</v>
      </c>
      <c r="C31" s="76">
        <v>48000</v>
      </c>
      <c r="D31" s="77"/>
      <c r="E31" s="78"/>
      <c r="F31" s="77"/>
      <c r="G31" s="79"/>
      <c r="H31" s="77"/>
      <c r="I31" s="78"/>
      <c r="J31" s="80"/>
      <c r="K31" s="51">
        <f t="shared" si="2"/>
        <v>0</v>
      </c>
      <c r="L31" s="54"/>
      <c r="M31" s="81" t="s">
        <v>92</v>
      </c>
      <c r="N31" s="81"/>
      <c r="O31" s="81"/>
      <c r="P31" s="81"/>
    </row>
    <row r="32" spans="1:16" s="64" customFormat="1" x14ac:dyDescent="0.25">
      <c r="A32" s="60"/>
      <c r="B32" s="61" t="s">
        <v>25</v>
      </c>
      <c r="C32" s="61"/>
      <c r="D32" s="62">
        <v>159741.22</v>
      </c>
      <c r="E32" s="51">
        <v>8073489064.9099998</v>
      </c>
      <c r="F32" s="51">
        <f>SUM(F8:F31)</f>
        <v>49728.58</v>
      </c>
      <c r="G32" s="51">
        <f t="shared" ref="G32:K32" si="7">SUM(G8:G25)</f>
        <v>1503226660</v>
      </c>
      <c r="H32" s="44">
        <f t="shared" si="7"/>
        <v>75144.399999999994</v>
      </c>
      <c r="I32" s="51">
        <f t="shared" si="7"/>
        <v>3883349583.0999999</v>
      </c>
      <c r="J32" s="44">
        <f t="shared" si="7"/>
        <v>113229.4</v>
      </c>
      <c r="K32" s="51">
        <f t="shared" si="7"/>
        <v>5693366141.8099995</v>
      </c>
      <c r="L32" s="63"/>
    </row>
    <row r="33" spans="4:5" x14ac:dyDescent="0.25">
      <c r="D33" s="72"/>
    </row>
    <row r="35" spans="4:5" x14ac:dyDescent="0.25">
      <c r="E35" s="24"/>
    </row>
    <row r="38" spans="4:5" x14ac:dyDescent="0.25">
      <c r="D38" s="24"/>
    </row>
  </sheetData>
  <mergeCells count="8"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F32:K32 E9:E32 D20:D21 E8:K8 I9:K31">
    <cfRule type="expression" dxfId="10" priority="2">
      <formula>AND(($O8-TODAY())&lt;90,NOT(ISBLANK($O8)))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TỒN 1-12-21</vt:lpstr>
      <vt:lpstr>TỒN THÁNG 1-2022</vt:lpstr>
      <vt:lpstr>TỒN THÁNG 2-2022 </vt:lpstr>
      <vt:lpstr>TỒN T2-2022( NEW)</vt:lpstr>
      <vt:lpstr>TỒN T3-2022( NEW) (2)</vt:lpstr>
      <vt:lpstr>TỒN T4-2022</vt:lpstr>
      <vt:lpstr>TỒN T5-2022 </vt:lpstr>
      <vt:lpstr>TỒN NGÀY 12-T5</vt:lpstr>
      <vt:lpstr>TỒN  THÁNG 6</vt:lpstr>
      <vt:lpstr>TỒN  THÁNG 7</vt:lpstr>
      <vt:lpstr>TỒN  THÁNG 8</vt:lpstr>
      <vt:lpstr>TỒN  THÁNG 9</vt:lpstr>
      <vt:lpstr>TỒN T9-ANH NGOC</vt:lpstr>
      <vt:lpstr>NXT T092022</vt:lpstr>
      <vt:lpstr>NXT T102022</vt:lpstr>
      <vt:lpstr>NXT T112022</vt:lpstr>
      <vt:lpstr>NXT T122022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2021-12-02T06:43:20Z</cp:lastPrinted>
  <dcterms:created xsi:type="dcterms:W3CDTF">2021-05-25T10:52:01Z</dcterms:created>
  <dcterms:modified xsi:type="dcterms:W3CDTF">2023-02-03T10:01:07Z</dcterms:modified>
</cp:coreProperties>
</file>