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1430" activeTab="11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ONGLUONG" sheetId="13" r:id="rId13"/>
    <sheet name="TONGBHXH" sheetId="14" r:id="rId14"/>
  </sheets>
  <calcPr calcId="162913"/>
</workbook>
</file>

<file path=xl/calcChain.xml><?xml version="1.0" encoding="utf-8"?>
<calcChain xmlns="http://schemas.openxmlformats.org/spreadsheetml/2006/main">
  <c r="K17" i="12" l="1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16" i="12"/>
  <c r="Z42" i="11" l="1"/>
  <c r="Z44" i="11"/>
  <c r="K43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9" i="11"/>
  <c r="K40" i="11"/>
  <c r="K41" i="11"/>
  <c r="K42" i="11"/>
  <c r="K16" i="11"/>
  <c r="K14" i="11"/>
  <c r="K13" i="11" s="1"/>
  <c r="J11" i="11"/>
  <c r="J13" i="11"/>
  <c r="J15" i="11"/>
  <c r="J43" i="11"/>
  <c r="J53" i="11" l="1"/>
  <c r="K45" i="11" l="1"/>
  <c r="D45" i="11"/>
  <c r="Q45" i="11" s="1"/>
  <c r="L45" i="11" l="1"/>
  <c r="P45" i="11"/>
  <c r="N45" i="11"/>
  <c r="R45" i="11"/>
  <c r="M45" i="11"/>
  <c r="V45" i="11"/>
  <c r="K39" i="8"/>
  <c r="K51" i="9"/>
  <c r="K50" i="9"/>
  <c r="K48" i="9"/>
  <c r="K45" i="9"/>
  <c r="K46" i="9"/>
  <c r="K44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29" i="9"/>
  <c r="K17" i="9"/>
  <c r="K18" i="9"/>
  <c r="K19" i="9"/>
  <c r="K20" i="9"/>
  <c r="K21" i="9"/>
  <c r="K22" i="9"/>
  <c r="K23" i="9"/>
  <c r="K24" i="9"/>
  <c r="K25" i="9"/>
  <c r="K26" i="9"/>
  <c r="K27" i="9"/>
  <c r="K16" i="9"/>
  <c r="E15" i="10"/>
  <c r="F15" i="10"/>
  <c r="G15" i="10"/>
  <c r="H15" i="10"/>
  <c r="I15" i="10"/>
  <c r="J15" i="10"/>
  <c r="U15" i="10"/>
  <c r="W15" i="10"/>
  <c r="E43" i="10"/>
  <c r="F43" i="10"/>
  <c r="G43" i="10"/>
  <c r="H43" i="10"/>
  <c r="I43" i="10"/>
  <c r="J43" i="10"/>
  <c r="U43" i="10"/>
  <c r="W43" i="10"/>
  <c r="K14" i="10"/>
  <c r="K51" i="10"/>
  <c r="K50" i="10"/>
  <c r="K48" i="10"/>
  <c r="K45" i="10"/>
  <c r="K46" i="10"/>
  <c r="K44" i="10"/>
  <c r="K43" i="10" s="1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16" i="10"/>
  <c r="K15" i="10" s="1"/>
  <c r="J11" i="10"/>
  <c r="J13" i="10"/>
  <c r="V16" i="10" l="1"/>
  <c r="O45" i="11"/>
  <c r="T45" i="11" s="1"/>
  <c r="Y45" i="11"/>
  <c r="Z45" i="11" s="1"/>
  <c r="S45" i="11"/>
  <c r="J52" i="10"/>
  <c r="K15" i="9"/>
  <c r="D39" i="13" l="1"/>
  <c r="E39" i="13"/>
  <c r="F39" i="13"/>
  <c r="G39" i="13"/>
  <c r="H39" i="13"/>
  <c r="I39" i="13"/>
  <c r="J39" i="13"/>
  <c r="K39" i="13"/>
  <c r="L39" i="13"/>
  <c r="M39" i="13"/>
  <c r="T39" i="13"/>
  <c r="U39" i="13"/>
  <c r="Y39" i="13"/>
  <c r="D40" i="13"/>
  <c r="E40" i="13"/>
  <c r="F40" i="13"/>
  <c r="G40" i="13"/>
  <c r="H40" i="13"/>
  <c r="I40" i="13"/>
  <c r="J40" i="13"/>
  <c r="L40" i="13"/>
  <c r="M40" i="13"/>
  <c r="T40" i="13"/>
  <c r="U40" i="13"/>
  <c r="Y40" i="13"/>
  <c r="D41" i="13"/>
  <c r="E41" i="13"/>
  <c r="F41" i="13"/>
  <c r="G41" i="13"/>
  <c r="H41" i="13"/>
  <c r="I41" i="13"/>
  <c r="J41" i="13"/>
  <c r="K41" i="13"/>
  <c r="L41" i="13"/>
  <c r="M41" i="13"/>
  <c r="T41" i="13"/>
  <c r="U41" i="13"/>
  <c r="Y41" i="13"/>
  <c r="D42" i="13"/>
  <c r="E42" i="13"/>
  <c r="F42" i="13"/>
  <c r="G42" i="13"/>
  <c r="H42" i="13"/>
  <c r="I42" i="13"/>
  <c r="J42" i="13"/>
  <c r="K42" i="13"/>
  <c r="L42" i="13"/>
  <c r="M42" i="13"/>
  <c r="P42" i="13"/>
  <c r="T42" i="13"/>
  <c r="U42" i="13"/>
  <c r="Y42" i="13"/>
  <c r="E15" i="11"/>
  <c r="F15" i="11"/>
  <c r="G15" i="11"/>
  <c r="H15" i="11"/>
  <c r="I15" i="11"/>
  <c r="U15" i="11"/>
  <c r="W15" i="11"/>
  <c r="E15" i="12"/>
  <c r="F15" i="12"/>
  <c r="G15" i="12"/>
  <c r="H15" i="12"/>
  <c r="I15" i="12"/>
  <c r="J15" i="12"/>
  <c r="U15" i="12"/>
  <c r="W15" i="12"/>
  <c r="K42" i="12"/>
  <c r="T42" i="12" s="1"/>
  <c r="T42" i="11"/>
  <c r="I43" i="9"/>
  <c r="J43" i="9"/>
  <c r="E43" i="9"/>
  <c r="F43" i="9"/>
  <c r="G43" i="9"/>
  <c r="H43" i="9"/>
  <c r="K43" i="9"/>
  <c r="U43" i="9"/>
  <c r="W43" i="9"/>
  <c r="E15" i="9"/>
  <c r="F15" i="9"/>
  <c r="G15" i="9"/>
  <c r="H15" i="9"/>
  <c r="I15" i="9"/>
  <c r="J15" i="9"/>
  <c r="J52" i="9" s="1"/>
  <c r="U15" i="9"/>
  <c r="W15" i="9"/>
  <c r="V42" i="9"/>
  <c r="Y42" i="9" s="1"/>
  <c r="Z42" i="9" s="1"/>
  <c r="T42" i="9"/>
  <c r="V42" i="10"/>
  <c r="Y42" i="10" s="1"/>
  <c r="T42" i="10"/>
  <c r="V42" i="11" l="1"/>
  <c r="Y42" i="11" s="1"/>
  <c r="V42" i="13" s="1"/>
  <c r="N42" i="13"/>
  <c r="S42" i="13"/>
  <c r="X42" i="13" s="1"/>
  <c r="Z42" i="10"/>
  <c r="W42" i="13" s="1"/>
  <c r="V42" i="12"/>
  <c r="Y42" i="12" s="1"/>
  <c r="O42" i="13"/>
  <c r="Q42" i="13"/>
  <c r="K51" i="12"/>
  <c r="D51" i="12"/>
  <c r="N51" i="12" s="1"/>
  <c r="V50" i="12"/>
  <c r="M50" i="12"/>
  <c r="L50" i="12"/>
  <c r="K50" i="12"/>
  <c r="D50" i="12"/>
  <c r="R50" i="12" s="1"/>
  <c r="N48" i="12"/>
  <c r="K48" i="12"/>
  <c r="D48" i="12"/>
  <c r="Y47" i="12"/>
  <c r="Z47" i="12" s="1"/>
  <c r="K46" i="12"/>
  <c r="D46" i="12"/>
  <c r="X45" i="12"/>
  <c r="V45" i="12"/>
  <c r="K45" i="12"/>
  <c r="D45" i="12"/>
  <c r="N45" i="12" s="1"/>
  <c r="K44" i="12"/>
  <c r="D44" i="12"/>
  <c r="R44" i="12" s="1"/>
  <c r="X43" i="12"/>
  <c r="W43" i="12"/>
  <c r="U43" i="12"/>
  <c r="I43" i="12"/>
  <c r="H43" i="12"/>
  <c r="G43" i="12"/>
  <c r="F43" i="12"/>
  <c r="E43" i="12"/>
  <c r="D41" i="12"/>
  <c r="R41" i="12" s="1"/>
  <c r="M40" i="12"/>
  <c r="D40" i="12"/>
  <c r="R40" i="12" s="1"/>
  <c r="D39" i="12"/>
  <c r="R39" i="12" s="1"/>
  <c r="D37" i="12"/>
  <c r="X36" i="12"/>
  <c r="V36" i="12"/>
  <c r="D36" i="12"/>
  <c r="N36" i="12" s="1"/>
  <c r="M35" i="12"/>
  <c r="V35" i="12"/>
  <c r="D35" i="12"/>
  <c r="R35" i="12" s="1"/>
  <c r="X34" i="12"/>
  <c r="D34" i="12"/>
  <c r="N34" i="12" s="1"/>
  <c r="L33" i="12"/>
  <c r="V33" i="12"/>
  <c r="D33" i="12"/>
  <c r="R33" i="12" s="1"/>
  <c r="X32" i="12"/>
  <c r="V32" i="12"/>
  <c r="D32" i="12"/>
  <c r="R32" i="12" s="1"/>
  <c r="X31" i="12"/>
  <c r="D31" i="12"/>
  <c r="N31" i="12" s="1"/>
  <c r="X30" i="12"/>
  <c r="V30" i="12"/>
  <c r="D30" i="12"/>
  <c r="N30" i="12" s="1"/>
  <c r="X29" i="12"/>
  <c r="L29" i="12"/>
  <c r="V29" i="12"/>
  <c r="D29" i="12"/>
  <c r="R29" i="12" s="1"/>
  <c r="X27" i="12"/>
  <c r="V27" i="12"/>
  <c r="D27" i="12"/>
  <c r="R27" i="12" s="1"/>
  <c r="D26" i="12"/>
  <c r="Q26" i="12" s="1"/>
  <c r="V25" i="12"/>
  <c r="D25" i="12"/>
  <c r="R25" i="12" s="1"/>
  <c r="X24" i="12"/>
  <c r="V24" i="12"/>
  <c r="D24" i="12"/>
  <c r="P24" i="12" s="1"/>
  <c r="V23" i="12"/>
  <c r="D23" i="12"/>
  <c r="Q23" i="12" s="1"/>
  <c r="V22" i="12"/>
  <c r="D22" i="12"/>
  <c r="R22" i="12" s="1"/>
  <c r="X21" i="12"/>
  <c r="V21" i="12"/>
  <c r="D21" i="12"/>
  <c r="P21" i="12" s="1"/>
  <c r="X20" i="12"/>
  <c r="D20" i="12"/>
  <c r="P20" i="12" s="1"/>
  <c r="V19" i="12"/>
  <c r="D19" i="12"/>
  <c r="R19" i="12" s="1"/>
  <c r="X18" i="12"/>
  <c r="V18" i="12"/>
  <c r="D18" i="12"/>
  <c r="Q18" i="12" s="1"/>
  <c r="X17" i="12"/>
  <c r="X15" i="12" s="1"/>
  <c r="D17" i="12"/>
  <c r="P17" i="12" s="1"/>
  <c r="D16" i="12"/>
  <c r="K14" i="12"/>
  <c r="K13" i="12" s="1"/>
  <c r="D14" i="12"/>
  <c r="R14" i="12" s="1"/>
  <c r="R13" i="12" s="1"/>
  <c r="X13" i="12"/>
  <c r="W13" i="12"/>
  <c r="U13" i="12"/>
  <c r="I13" i="12"/>
  <c r="H13" i="12"/>
  <c r="G13" i="12"/>
  <c r="F13" i="12"/>
  <c r="E13" i="12"/>
  <c r="D13" i="12"/>
  <c r="V12" i="12"/>
  <c r="V11" i="12" s="1"/>
  <c r="P12" i="12"/>
  <c r="L12" i="12"/>
  <c r="D12" i="12"/>
  <c r="R12" i="12" s="1"/>
  <c r="R11" i="12" s="1"/>
  <c r="Z11" i="12"/>
  <c r="Y11" i="12"/>
  <c r="X11" i="12"/>
  <c r="W11" i="12"/>
  <c r="U11" i="12"/>
  <c r="T11" i="12"/>
  <c r="P11" i="12"/>
  <c r="L11" i="12"/>
  <c r="K11" i="12"/>
  <c r="I11" i="12"/>
  <c r="H11" i="12"/>
  <c r="H52" i="12" s="1"/>
  <c r="G11" i="12"/>
  <c r="F11" i="12"/>
  <c r="F52" i="12" s="1"/>
  <c r="E11" i="12"/>
  <c r="D11" i="12"/>
  <c r="N52" i="11"/>
  <c r="K52" i="11"/>
  <c r="D52" i="11"/>
  <c r="K51" i="11"/>
  <c r="V51" i="11" s="1"/>
  <c r="D51" i="11"/>
  <c r="R51" i="11" s="1"/>
  <c r="K49" i="11"/>
  <c r="D49" i="11"/>
  <c r="N49" i="11" s="1"/>
  <c r="Y48" i="11"/>
  <c r="Z48" i="11" s="1"/>
  <c r="K47" i="11"/>
  <c r="D47" i="11"/>
  <c r="D43" i="11" s="1"/>
  <c r="X46" i="11"/>
  <c r="X43" i="11" s="1"/>
  <c r="K46" i="11"/>
  <c r="V46" i="11" s="1"/>
  <c r="D46" i="11"/>
  <c r="N46" i="11" s="1"/>
  <c r="Q44" i="11"/>
  <c r="M44" i="11"/>
  <c r="L44" i="11"/>
  <c r="K44" i="11"/>
  <c r="D44" i="11"/>
  <c r="R44" i="11" s="1"/>
  <c r="W43" i="11"/>
  <c r="U43" i="11"/>
  <c r="I43" i="11"/>
  <c r="H43" i="11"/>
  <c r="G43" i="11"/>
  <c r="F43" i="11"/>
  <c r="E43" i="11"/>
  <c r="D41" i="11"/>
  <c r="R41" i="11" s="1"/>
  <c r="N40" i="11"/>
  <c r="D40" i="11"/>
  <c r="R40" i="11" s="1"/>
  <c r="D39" i="11"/>
  <c r="R39" i="11" s="1"/>
  <c r="D37" i="11"/>
  <c r="X36" i="11"/>
  <c r="N36" i="11"/>
  <c r="V36" i="11"/>
  <c r="D36" i="11"/>
  <c r="D35" i="11"/>
  <c r="R35" i="11" s="1"/>
  <c r="X34" i="11"/>
  <c r="D34" i="11"/>
  <c r="N34" i="11" s="1"/>
  <c r="M33" i="11"/>
  <c r="V33" i="11"/>
  <c r="D33" i="11"/>
  <c r="R33" i="11" s="1"/>
  <c r="X32" i="11"/>
  <c r="M32" i="11"/>
  <c r="L32" i="11"/>
  <c r="D32" i="11"/>
  <c r="R32" i="11" s="1"/>
  <c r="X31" i="11"/>
  <c r="D31" i="11"/>
  <c r="N31" i="11" s="1"/>
  <c r="X30" i="11"/>
  <c r="V30" i="11"/>
  <c r="D30" i="11"/>
  <c r="N30" i="11" s="1"/>
  <c r="X29" i="11"/>
  <c r="V29" i="11"/>
  <c r="D29" i="11"/>
  <c r="R29" i="11" s="1"/>
  <c r="X27" i="11"/>
  <c r="V27" i="11"/>
  <c r="D27" i="11"/>
  <c r="R27" i="11" s="1"/>
  <c r="N26" i="11"/>
  <c r="V26" i="11"/>
  <c r="D26" i="11"/>
  <c r="R26" i="11" s="1"/>
  <c r="V25" i="11"/>
  <c r="D25" i="11"/>
  <c r="R25" i="11" s="1"/>
  <c r="X24" i="11"/>
  <c r="P24" i="11"/>
  <c r="D24" i="11"/>
  <c r="N24" i="11" s="1"/>
  <c r="V23" i="11"/>
  <c r="D23" i="11"/>
  <c r="N23" i="11" s="1"/>
  <c r="V22" i="11"/>
  <c r="D22" i="11"/>
  <c r="N22" i="11" s="1"/>
  <c r="X21" i="11"/>
  <c r="L21" i="11"/>
  <c r="D21" i="11"/>
  <c r="R21" i="11" s="1"/>
  <c r="X20" i="11"/>
  <c r="N20" i="11"/>
  <c r="D20" i="11"/>
  <c r="Q19" i="11"/>
  <c r="M19" i="11"/>
  <c r="V19" i="11"/>
  <c r="D19" i="11"/>
  <c r="R19" i="11" s="1"/>
  <c r="X18" i="11"/>
  <c r="V18" i="11"/>
  <c r="D18" i="11"/>
  <c r="R18" i="11" s="1"/>
  <c r="X17" i="11"/>
  <c r="X15" i="11" s="1"/>
  <c r="D17" i="11"/>
  <c r="L16" i="11"/>
  <c r="D16" i="11"/>
  <c r="M16" i="11" s="1"/>
  <c r="N14" i="11"/>
  <c r="N13" i="11" s="1"/>
  <c r="V14" i="11"/>
  <c r="V13" i="11" s="1"/>
  <c r="D14" i="11"/>
  <c r="X13" i="11"/>
  <c r="W13" i="11"/>
  <c r="U13" i="11"/>
  <c r="I13" i="11"/>
  <c r="H13" i="11"/>
  <c r="G13" i="11"/>
  <c r="F13" i="11"/>
  <c r="E13" i="11"/>
  <c r="V12" i="11"/>
  <c r="V11" i="11" s="1"/>
  <c r="D12" i="11"/>
  <c r="Z11" i="11"/>
  <c r="Y11" i="11"/>
  <c r="X11" i="11"/>
  <c r="W11" i="11"/>
  <c r="U11" i="11"/>
  <c r="T11" i="11"/>
  <c r="K11" i="11"/>
  <c r="I11" i="11"/>
  <c r="H11" i="11"/>
  <c r="G11" i="11"/>
  <c r="F11" i="11"/>
  <c r="E11" i="11"/>
  <c r="V51" i="10"/>
  <c r="D51" i="10"/>
  <c r="R51" i="10" s="1"/>
  <c r="V50" i="10"/>
  <c r="P50" i="10"/>
  <c r="M50" i="10"/>
  <c r="L50" i="10"/>
  <c r="D50" i="10"/>
  <c r="R50" i="10" s="1"/>
  <c r="V48" i="10"/>
  <c r="D48" i="10"/>
  <c r="R48" i="10" s="1"/>
  <c r="Y47" i="10"/>
  <c r="Z47" i="10" s="1"/>
  <c r="V46" i="10"/>
  <c r="D46" i="10"/>
  <c r="R46" i="10" s="1"/>
  <c r="X45" i="10"/>
  <c r="X43" i="10" s="1"/>
  <c r="V45" i="10"/>
  <c r="M45" i="10"/>
  <c r="D45" i="10"/>
  <c r="P45" i="10" s="1"/>
  <c r="P44" i="10"/>
  <c r="M44" i="10"/>
  <c r="L44" i="10"/>
  <c r="D44" i="10"/>
  <c r="Q41" i="10"/>
  <c r="D41" i="10"/>
  <c r="R41" i="10" s="1"/>
  <c r="V40" i="10"/>
  <c r="D40" i="10"/>
  <c r="P40" i="10" s="1"/>
  <c r="D39" i="10"/>
  <c r="R39" i="10" s="1"/>
  <c r="V37" i="10"/>
  <c r="D37" i="10"/>
  <c r="R37" i="10" s="1"/>
  <c r="X36" i="10"/>
  <c r="V36" i="10"/>
  <c r="D36" i="10"/>
  <c r="P36" i="10" s="1"/>
  <c r="Q35" i="10"/>
  <c r="L35" i="10"/>
  <c r="D35" i="10"/>
  <c r="R35" i="10" s="1"/>
  <c r="X34" i="10"/>
  <c r="V34" i="10"/>
  <c r="D34" i="10"/>
  <c r="R34" i="10" s="1"/>
  <c r="V33" i="10"/>
  <c r="D33" i="10"/>
  <c r="R33" i="10" s="1"/>
  <c r="X32" i="10"/>
  <c r="Q32" i="10"/>
  <c r="D32" i="10"/>
  <c r="R32" i="10" s="1"/>
  <c r="X31" i="10"/>
  <c r="D31" i="10"/>
  <c r="X30" i="10"/>
  <c r="M30" i="10"/>
  <c r="D30" i="10"/>
  <c r="R30" i="10" s="1"/>
  <c r="X29" i="10"/>
  <c r="V29" i="10"/>
  <c r="D29" i="10"/>
  <c r="N29" i="10" s="1"/>
  <c r="X27" i="10"/>
  <c r="M27" i="10"/>
  <c r="V27" i="10"/>
  <c r="D27" i="10"/>
  <c r="R27" i="10" s="1"/>
  <c r="V26" i="10"/>
  <c r="D26" i="10"/>
  <c r="Q26" i="10" s="1"/>
  <c r="V25" i="10"/>
  <c r="D25" i="10"/>
  <c r="R25" i="10" s="1"/>
  <c r="X24" i="10"/>
  <c r="V24" i="10"/>
  <c r="D24" i="10"/>
  <c r="N24" i="10" s="1"/>
  <c r="R23" i="10"/>
  <c r="V23" i="10"/>
  <c r="D23" i="10"/>
  <c r="P23" i="10" s="1"/>
  <c r="V22" i="10"/>
  <c r="D22" i="10"/>
  <c r="P22" i="10" s="1"/>
  <c r="X21" i="10"/>
  <c r="D21" i="10"/>
  <c r="P21" i="10" s="1"/>
  <c r="X20" i="10"/>
  <c r="V20" i="10"/>
  <c r="D20" i="10"/>
  <c r="R20" i="10" s="1"/>
  <c r="V19" i="10"/>
  <c r="D19" i="10"/>
  <c r="R19" i="10" s="1"/>
  <c r="X18" i="10"/>
  <c r="D18" i="10"/>
  <c r="P18" i="10" s="1"/>
  <c r="X17" i="10"/>
  <c r="V17" i="10"/>
  <c r="D17" i="10"/>
  <c r="R17" i="10" s="1"/>
  <c r="M16" i="10"/>
  <c r="D16" i="10"/>
  <c r="P16" i="10" s="1"/>
  <c r="V14" i="10"/>
  <c r="V13" i="10" s="1"/>
  <c r="D14" i="10"/>
  <c r="R14" i="10" s="1"/>
  <c r="R13" i="10" s="1"/>
  <c r="X13" i="10"/>
  <c r="W13" i="10"/>
  <c r="U13" i="10"/>
  <c r="K13" i="10"/>
  <c r="I13" i="10"/>
  <c r="H13" i="10"/>
  <c r="G13" i="10"/>
  <c r="F13" i="10"/>
  <c r="E13" i="10"/>
  <c r="D13" i="10"/>
  <c r="V12" i="10"/>
  <c r="V11" i="10" s="1"/>
  <c r="N12" i="10"/>
  <c r="N11" i="10" s="1"/>
  <c r="D12" i="10"/>
  <c r="P12" i="10" s="1"/>
  <c r="Z11" i="10"/>
  <c r="Y11" i="10"/>
  <c r="X11" i="10"/>
  <c r="W11" i="10"/>
  <c r="W52" i="10" s="1"/>
  <c r="U11" i="10"/>
  <c r="U52" i="10" s="1"/>
  <c r="T11" i="10"/>
  <c r="K11" i="10"/>
  <c r="I11" i="10"/>
  <c r="I52" i="10" s="1"/>
  <c r="H11" i="10"/>
  <c r="G11" i="10"/>
  <c r="G52" i="10" s="1"/>
  <c r="F11" i="10"/>
  <c r="F52" i="10" s="1"/>
  <c r="E11" i="10"/>
  <c r="E52" i="10" s="1"/>
  <c r="D11" i="10"/>
  <c r="V41" i="9"/>
  <c r="D41" i="9"/>
  <c r="R41" i="9" s="1"/>
  <c r="Q14" i="10" l="1"/>
  <c r="Q13" i="10" s="1"/>
  <c r="V15" i="10"/>
  <c r="P19" i="10"/>
  <c r="S19" i="10" s="1"/>
  <c r="Q20" i="10"/>
  <c r="L25" i="10"/>
  <c r="R26" i="10"/>
  <c r="Q33" i="10"/>
  <c r="N34" i="10"/>
  <c r="M36" i="10"/>
  <c r="M40" i="10"/>
  <c r="N46" i="10"/>
  <c r="V40" i="11"/>
  <c r="N40" i="13"/>
  <c r="V41" i="11"/>
  <c r="N41" i="13"/>
  <c r="L51" i="11"/>
  <c r="X52" i="12"/>
  <c r="L19" i="12"/>
  <c r="M25" i="12"/>
  <c r="N26" i="12"/>
  <c r="Q29" i="12"/>
  <c r="M30" i="12"/>
  <c r="Q33" i="12"/>
  <c r="L44" i="12"/>
  <c r="H52" i="10"/>
  <c r="Q12" i="10"/>
  <c r="Q11" i="10" s="1"/>
  <c r="L14" i="10"/>
  <c r="X15" i="10"/>
  <c r="Q19" i="10"/>
  <c r="M23" i="10"/>
  <c r="M25" i="10"/>
  <c r="Q36" i="10"/>
  <c r="Q50" i="10"/>
  <c r="S50" i="10" s="1"/>
  <c r="W53" i="11"/>
  <c r="L18" i="11"/>
  <c r="L19" i="11"/>
  <c r="P21" i="11"/>
  <c r="L24" i="11"/>
  <c r="M26" i="11"/>
  <c r="M40" i="11"/>
  <c r="P44" i="11"/>
  <c r="S44" i="11" s="1"/>
  <c r="M51" i="11"/>
  <c r="P19" i="12"/>
  <c r="V40" i="12"/>
  <c r="O40" i="13"/>
  <c r="V41" i="12"/>
  <c r="O41" i="13"/>
  <c r="M44" i="12"/>
  <c r="R12" i="10"/>
  <c r="R11" i="10" s="1"/>
  <c r="M14" i="10"/>
  <c r="M13" i="10" s="1"/>
  <c r="R16" i="10"/>
  <c r="D15" i="10"/>
  <c r="Q16" i="10"/>
  <c r="L19" i="10"/>
  <c r="F53" i="11"/>
  <c r="R16" i="11"/>
  <c r="D15" i="11"/>
  <c r="P16" i="11"/>
  <c r="P25" i="11"/>
  <c r="V39" i="11"/>
  <c r="N39" i="13"/>
  <c r="P51" i="11"/>
  <c r="R16" i="12"/>
  <c r="D15" i="12"/>
  <c r="P44" i="12"/>
  <c r="P50" i="12"/>
  <c r="M12" i="10"/>
  <c r="M11" i="10" s="1"/>
  <c r="P14" i="10"/>
  <c r="L16" i="10"/>
  <c r="M19" i="10"/>
  <c r="M20" i="10"/>
  <c r="L27" i="10"/>
  <c r="N30" i="10"/>
  <c r="L33" i="10"/>
  <c r="R44" i="10"/>
  <c r="R43" i="10" s="1"/>
  <c r="D43" i="10"/>
  <c r="Q44" i="10"/>
  <c r="Q45" i="10"/>
  <c r="V16" i="11"/>
  <c r="K15" i="11"/>
  <c r="Q16" i="11"/>
  <c r="P19" i="11"/>
  <c r="Q51" i="11"/>
  <c r="W52" i="12"/>
  <c r="V16" i="12"/>
  <c r="K15" i="12"/>
  <c r="M21" i="12"/>
  <c r="N22" i="12"/>
  <c r="M26" i="12"/>
  <c r="M29" i="12"/>
  <c r="M33" i="12"/>
  <c r="L35" i="12"/>
  <c r="V39" i="12"/>
  <c r="O39" i="13"/>
  <c r="N40" i="12"/>
  <c r="Q44" i="12"/>
  <c r="S44" i="12" s="1"/>
  <c r="Q50" i="12"/>
  <c r="T38" i="10"/>
  <c r="K52" i="10"/>
  <c r="E52" i="12"/>
  <c r="I52" i="12"/>
  <c r="U52" i="12"/>
  <c r="G52" i="12"/>
  <c r="G53" i="11"/>
  <c r="P27" i="12"/>
  <c r="P32" i="12"/>
  <c r="S32" i="12" s="1"/>
  <c r="P39" i="12"/>
  <c r="P41" i="12"/>
  <c r="Q21" i="12"/>
  <c r="P25" i="12"/>
  <c r="Q27" i="12"/>
  <c r="Q32" i="12"/>
  <c r="Q39" i="12"/>
  <c r="Q41" i="12"/>
  <c r="Q25" i="12"/>
  <c r="L27" i="12"/>
  <c r="L32" i="12"/>
  <c r="P35" i="12"/>
  <c r="S35" i="12" s="1"/>
  <c r="L39" i="12"/>
  <c r="L41" i="12"/>
  <c r="L21" i="12"/>
  <c r="L25" i="12"/>
  <c r="R26" i="12"/>
  <c r="M27" i="12"/>
  <c r="P29" i="12"/>
  <c r="M32" i="12"/>
  <c r="P33" i="12"/>
  <c r="Q35" i="12"/>
  <c r="M39" i="12"/>
  <c r="M41" i="12"/>
  <c r="P27" i="11"/>
  <c r="P29" i="11"/>
  <c r="P35" i="11"/>
  <c r="P39" i="11"/>
  <c r="S39" i="11" s="1"/>
  <c r="P41" i="11"/>
  <c r="Q25" i="11"/>
  <c r="Q27" i="11"/>
  <c r="Q29" i="11"/>
  <c r="S29" i="11" s="1"/>
  <c r="Q41" i="11"/>
  <c r="P18" i="11"/>
  <c r="R24" i="11"/>
  <c r="L25" i="11"/>
  <c r="L15" i="11" s="1"/>
  <c r="Q26" i="11"/>
  <c r="L27" i="11"/>
  <c r="L29" i="11"/>
  <c r="M30" i="11"/>
  <c r="P32" i="11"/>
  <c r="Q33" i="11"/>
  <c r="L35" i="11"/>
  <c r="L39" i="11"/>
  <c r="L41" i="11"/>
  <c r="S25" i="11"/>
  <c r="P33" i="11"/>
  <c r="Q35" i="11"/>
  <c r="Q39" i="11"/>
  <c r="M25" i="11"/>
  <c r="M27" i="11"/>
  <c r="M29" i="11"/>
  <c r="R30" i="11"/>
  <c r="Q32" i="11"/>
  <c r="L33" i="11"/>
  <c r="M35" i="11"/>
  <c r="M39" i="11"/>
  <c r="M41" i="11"/>
  <c r="P25" i="10"/>
  <c r="M26" i="10"/>
  <c r="P27" i="10"/>
  <c r="Q29" i="10"/>
  <c r="Q30" i="10"/>
  <c r="L32" i="10"/>
  <c r="M33" i="10"/>
  <c r="M35" i="10"/>
  <c r="N37" i="10"/>
  <c r="Q39" i="10"/>
  <c r="Q40" i="10"/>
  <c r="L41" i="10"/>
  <c r="P29" i="10"/>
  <c r="P39" i="10"/>
  <c r="S39" i="10" s="1"/>
  <c r="M17" i="10"/>
  <c r="M15" i="10" s="1"/>
  <c r="L22" i="10"/>
  <c r="Q25" i="10"/>
  <c r="N26" i="10"/>
  <c r="Q27" i="10"/>
  <c r="S27" i="10" s="1"/>
  <c r="L29" i="10"/>
  <c r="R29" i="10"/>
  <c r="M32" i="10"/>
  <c r="P33" i="10"/>
  <c r="P35" i="10"/>
  <c r="S35" i="10" s="1"/>
  <c r="L39" i="10"/>
  <c r="M41" i="10"/>
  <c r="R22" i="10"/>
  <c r="Q17" i="10"/>
  <c r="N22" i="10"/>
  <c r="M29" i="10"/>
  <c r="S32" i="10"/>
  <c r="P32" i="10"/>
  <c r="M39" i="10"/>
  <c r="P41" i="10"/>
  <c r="S41" i="10" s="1"/>
  <c r="V38" i="10"/>
  <c r="M12" i="12"/>
  <c r="M11" i="12" s="1"/>
  <c r="Q12" i="12"/>
  <c r="Q11" i="12" s="1"/>
  <c r="L14" i="12"/>
  <c r="P14" i="12"/>
  <c r="M17" i="12"/>
  <c r="Q17" i="12"/>
  <c r="S17" i="12" s="1"/>
  <c r="V17" i="12"/>
  <c r="N18" i="12"/>
  <c r="R18" i="12"/>
  <c r="M20" i="12"/>
  <c r="Q20" i="12"/>
  <c r="V20" i="12"/>
  <c r="N21" i="12"/>
  <c r="R21" i="12"/>
  <c r="L22" i="12"/>
  <c r="M23" i="12"/>
  <c r="R23" i="12"/>
  <c r="Q24" i="12"/>
  <c r="M24" i="12"/>
  <c r="R30" i="12"/>
  <c r="V31" i="12"/>
  <c r="V34" i="12"/>
  <c r="D43" i="12"/>
  <c r="K43" i="12"/>
  <c r="K52" i="12" s="1"/>
  <c r="V44" i="12"/>
  <c r="N12" i="12"/>
  <c r="N11" i="12" s="1"/>
  <c r="M14" i="12"/>
  <c r="M13" i="12" s="1"/>
  <c r="Q14" i="12"/>
  <c r="Q13" i="12" s="1"/>
  <c r="V14" i="12"/>
  <c r="L16" i="12"/>
  <c r="P16" i="12"/>
  <c r="N17" i="12"/>
  <c r="R17" i="12"/>
  <c r="N20" i="12"/>
  <c r="R20" i="12"/>
  <c r="N23" i="12"/>
  <c r="S29" i="12"/>
  <c r="P36" i="12"/>
  <c r="L36" i="12"/>
  <c r="Q36" i="12"/>
  <c r="Q37" i="12"/>
  <c r="M37" i="12"/>
  <c r="P37" i="12"/>
  <c r="L37" i="12"/>
  <c r="R37" i="12"/>
  <c r="P45" i="12"/>
  <c r="L45" i="12"/>
  <c r="Q45" i="12"/>
  <c r="Q46" i="12"/>
  <c r="M46" i="12"/>
  <c r="P46" i="12"/>
  <c r="S46" i="12" s="1"/>
  <c r="L46" i="12"/>
  <c r="R46" i="12"/>
  <c r="N14" i="12"/>
  <c r="N13" i="12" s="1"/>
  <c r="M16" i="12"/>
  <c r="Q16" i="12"/>
  <c r="L18" i="12"/>
  <c r="P18" i="12"/>
  <c r="S18" i="12" s="1"/>
  <c r="M19" i="12"/>
  <c r="Q19" i="12"/>
  <c r="S19" i="12" s="1"/>
  <c r="Q22" i="12"/>
  <c r="M22" i="12"/>
  <c r="P23" i="12"/>
  <c r="L24" i="12"/>
  <c r="R24" i="12"/>
  <c r="R36" i="12"/>
  <c r="V37" i="12"/>
  <c r="P40" i="12"/>
  <c r="L40" i="12"/>
  <c r="O40" i="12" s="1"/>
  <c r="Q40" i="12"/>
  <c r="R45" i="12"/>
  <c r="V46" i="12"/>
  <c r="Q48" i="12"/>
  <c r="M48" i="12"/>
  <c r="P48" i="12"/>
  <c r="L48" i="12"/>
  <c r="R48" i="12"/>
  <c r="R43" i="12" s="1"/>
  <c r="S50" i="12"/>
  <c r="Q51" i="12"/>
  <c r="M51" i="12"/>
  <c r="P51" i="12"/>
  <c r="S51" i="12" s="1"/>
  <c r="L51" i="12"/>
  <c r="R51" i="12"/>
  <c r="N16" i="12"/>
  <c r="L17" i="12"/>
  <c r="O17" i="12" s="1"/>
  <c r="T17" i="12" s="1"/>
  <c r="M18" i="12"/>
  <c r="N19" i="12"/>
  <c r="L20" i="12"/>
  <c r="P22" i="12"/>
  <c r="S22" i="12" s="1"/>
  <c r="L23" i="12"/>
  <c r="O23" i="12" s="1"/>
  <c r="T23" i="12" s="1"/>
  <c r="N24" i="12"/>
  <c r="P26" i="12"/>
  <c r="L26" i="12"/>
  <c r="O26" i="12" s="1"/>
  <c r="T26" i="12" s="1"/>
  <c r="V26" i="12"/>
  <c r="P30" i="12"/>
  <c r="L30" i="12"/>
  <c r="O30" i="12" s="1"/>
  <c r="T30" i="12" s="1"/>
  <c r="Q30" i="12"/>
  <c r="Q31" i="12"/>
  <c r="M31" i="12"/>
  <c r="P31" i="12"/>
  <c r="L31" i="12"/>
  <c r="R31" i="12"/>
  <c r="Q34" i="12"/>
  <c r="M34" i="12"/>
  <c r="P34" i="12"/>
  <c r="L34" i="12"/>
  <c r="R34" i="12"/>
  <c r="M36" i="12"/>
  <c r="N37" i="12"/>
  <c r="M45" i="12"/>
  <c r="N46" i="12"/>
  <c r="V48" i="12"/>
  <c r="V51" i="12"/>
  <c r="N29" i="12"/>
  <c r="O29" i="12" s="1"/>
  <c r="N33" i="12"/>
  <c r="N50" i="12"/>
  <c r="O50" i="12" s="1"/>
  <c r="N25" i="12"/>
  <c r="N27" i="12"/>
  <c r="N32" i="12"/>
  <c r="N35" i="12"/>
  <c r="O35" i="12" s="1"/>
  <c r="N39" i="12"/>
  <c r="N41" i="12"/>
  <c r="N44" i="12"/>
  <c r="Q12" i="11"/>
  <c r="Q11" i="11" s="1"/>
  <c r="M12" i="11"/>
  <c r="M11" i="11" s="1"/>
  <c r="D11" i="11"/>
  <c r="P12" i="11"/>
  <c r="L12" i="11"/>
  <c r="X53" i="11"/>
  <c r="P14" i="11"/>
  <c r="L14" i="11"/>
  <c r="D13" i="11"/>
  <c r="Q14" i="11"/>
  <c r="Q13" i="11" s="1"/>
  <c r="V17" i="11"/>
  <c r="V21" i="11"/>
  <c r="V31" i="11"/>
  <c r="V35" i="11"/>
  <c r="Q17" i="11"/>
  <c r="M17" i="11"/>
  <c r="M15" i="11" s="1"/>
  <c r="P17" i="11"/>
  <c r="L17" i="11"/>
  <c r="R17" i="11"/>
  <c r="N12" i="11"/>
  <c r="N11" i="11" s="1"/>
  <c r="R14" i="11"/>
  <c r="R13" i="11" s="1"/>
  <c r="N17" i="11"/>
  <c r="S19" i="11"/>
  <c r="Q20" i="11"/>
  <c r="M20" i="11"/>
  <c r="P20" i="11"/>
  <c r="L20" i="11"/>
  <c r="R20" i="11"/>
  <c r="V24" i="11"/>
  <c r="V32" i="11"/>
  <c r="V44" i="11"/>
  <c r="R23" i="11"/>
  <c r="M23" i="11"/>
  <c r="Q23" i="11"/>
  <c r="L23" i="11"/>
  <c r="P23" i="11"/>
  <c r="V34" i="11"/>
  <c r="E53" i="11"/>
  <c r="I53" i="11"/>
  <c r="R12" i="11"/>
  <c r="R11" i="11" s="1"/>
  <c r="M14" i="11"/>
  <c r="M13" i="11" s="1"/>
  <c r="V20" i="11"/>
  <c r="Q22" i="11"/>
  <c r="M22" i="11"/>
  <c r="P36" i="11"/>
  <c r="L36" i="11"/>
  <c r="Q37" i="11"/>
  <c r="M37" i="11"/>
  <c r="P37" i="11"/>
  <c r="L37" i="11"/>
  <c r="R37" i="11"/>
  <c r="P46" i="11"/>
  <c r="L46" i="11"/>
  <c r="Q46" i="11"/>
  <c r="Q47" i="11"/>
  <c r="M47" i="11"/>
  <c r="P47" i="11"/>
  <c r="L47" i="11"/>
  <c r="R47" i="11"/>
  <c r="Q36" i="11"/>
  <c r="N16" i="11"/>
  <c r="M18" i="11"/>
  <c r="Q18" i="11"/>
  <c r="S18" i="11" s="1"/>
  <c r="N19" i="11"/>
  <c r="O19" i="11" s="1"/>
  <c r="M21" i="11"/>
  <c r="Q21" i="11"/>
  <c r="S21" i="11" s="1"/>
  <c r="P22" i="11"/>
  <c r="P26" i="11"/>
  <c r="S26" i="11" s="1"/>
  <c r="L26" i="11"/>
  <c r="O26" i="11" s="1"/>
  <c r="T26" i="11" s="1"/>
  <c r="R36" i="11"/>
  <c r="V37" i="11"/>
  <c r="P40" i="11"/>
  <c r="L40" i="11"/>
  <c r="O40" i="11" s="1"/>
  <c r="Y40" i="11" s="1"/>
  <c r="Z40" i="11" s="1"/>
  <c r="Q40" i="11"/>
  <c r="R46" i="11"/>
  <c r="V47" i="11"/>
  <c r="Q49" i="11"/>
  <c r="M49" i="11"/>
  <c r="P49" i="11"/>
  <c r="L49" i="11"/>
  <c r="R49" i="11"/>
  <c r="S51" i="11"/>
  <c r="Q52" i="11"/>
  <c r="M52" i="11"/>
  <c r="P52" i="11"/>
  <c r="L52" i="11"/>
  <c r="O52" i="11" s="1"/>
  <c r="T52" i="11" s="1"/>
  <c r="R52" i="11"/>
  <c r="R43" i="11" s="1"/>
  <c r="H53" i="11"/>
  <c r="U53" i="11"/>
  <c r="N18" i="11"/>
  <c r="N21" i="11"/>
  <c r="L22" i="11"/>
  <c r="O22" i="11" s="1"/>
  <c r="T22" i="11" s="1"/>
  <c r="R22" i="11"/>
  <c r="Q24" i="11"/>
  <c r="M24" i="11"/>
  <c r="O24" i="11" s="1"/>
  <c r="T24" i="11" s="1"/>
  <c r="P30" i="11"/>
  <c r="L30" i="11"/>
  <c r="Q30" i="11"/>
  <c r="Q31" i="11"/>
  <c r="M31" i="11"/>
  <c r="P31" i="11"/>
  <c r="L31" i="11"/>
  <c r="R31" i="11"/>
  <c r="S33" i="11"/>
  <c r="Q34" i="11"/>
  <c r="M34" i="11"/>
  <c r="P34" i="11"/>
  <c r="L34" i="11"/>
  <c r="R34" i="11"/>
  <c r="M36" i="11"/>
  <c r="N37" i="11"/>
  <c r="M46" i="11"/>
  <c r="N47" i="11"/>
  <c r="V49" i="11"/>
  <c r="V52" i="11"/>
  <c r="N29" i="11"/>
  <c r="N33" i="11"/>
  <c r="N51" i="11"/>
  <c r="O51" i="11" s="1"/>
  <c r="T51" i="11" s="1"/>
  <c r="N25" i="11"/>
  <c r="N27" i="11"/>
  <c r="O27" i="11" s="1"/>
  <c r="N32" i="11"/>
  <c r="O32" i="11" s="1"/>
  <c r="T32" i="11" s="1"/>
  <c r="N35" i="11"/>
  <c r="N39" i="11"/>
  <c r="N41" i="11"/>
  <c r="O41" i="11" s="1"/>
  <c r="N44" i="11"/>
  <c r="S14" i="10"/>
  <c r="S13" i="10" s="1"/>
  <c r="P11" i="10"/>
  <c r="R21" i="10"/>
  <c r="X52" i="10"/>
  <c r="L12" i="10"/>
  <c r="L13" i="10"/>
  <c r="P13" i="10"/>
  <c r="N16" i="10"/>
  <c r="L17" i="10"/>
  <c r="P17" i="10"/>
  <c r="P15" i="10" s="1"/>
  <c r="M18" i="10"/>
  <c r="Q18" i="10"/>
  <c r="V18" i="10"/>
  <c r="N19" i="10"/>
  <c r="O19" i="10" s="1"/>
  <c r="Y19" i="10" s="1"/>
  <c r="Z19" i="10" s="1"/>
  <c r="L20" i="10"/>
  <c r="P20" i="10"/>
  <c r="S20" i="10" s="1"/>
  <c r="M21" i="10"/>
  <c r="Q21" i="10"/>
  <c r="S21" i="10" s="1"/>
  <c r="V21" i="10"/>
  <c r="L23" i="10"/>
  <c r="Q23" i="10"/>
  <c r="S23" i="10" s="1"/>
  <c r="P26" i="10"/>
  <c r="S26" i="10" s="1"/>
  <c r="L26" i="10"/>
  <c r="P30" i="10"/>
  <c r="S30" i="10" s="1"/>
  <c r="L30" i="10"/>
  <c r="O30" i="10" s="1"/>
  <c r="T30" i="10" s="1"/>
  <c r="N51" i="10"/>
  <c r="N18" i="10"/>
  <c r="N21" i="10"/>
  <c r="Q24" i="10"/>
  <c r="M24" i="10"/>
  <c r="Q31" i="10"/>
  <c r="M31" i="10"/>
  <c r="P31" i="10"/>
  <c r="L31" i="10"/>
  <c r="R31" i="10"/>
  <c r="V35" i="10"/>
  <c r="V41" i="10"/>
  <c r="S41" i="13" s="1"/>
  <c r="V44" i="10"/>
  <c r="V43" i="10" s="1"/>
  <c r="Q48" i="10"/>
  <c r="M48" i="10"/>
  <c r="P48" i="10"/>
  <c r="S48" i="10" s="1"/>
  <c r="L48" i="10"/>
  <c r="R18" i="10"/>
  <c r="S18" i="10" s="1"/>
  <c r="N17" i="10"/>
  <c r="N20" i="10"/>
  <c r="N23" i="10"/>
  <c r="P24" i="10"/>
  <c r="O29" i="10"/>
  <c r="T29" i="10" s="1"/>
  <c r="V31" i="10"/>
  <c r="V32" i="10"/>
  <c r="Q51" i="10"/>
  <c r="M51" i="10"/>
  <c r="P51" i="10"/>
  <c r="L51" i="10"/>
  <c r="N14" i="10"/>
  <c r="N13" i="10" s="1"/>
  <c r="L18" i="10"/>
  <c r="L21" i="10"/>
  <c r="Q22" i="10"/>
  <c r="S22" i="10" s="1"/>
  <c r="M22" i="10"/>
  <c r="L24" i="10"/>
  <c r="O24" i="10" s="1"/>
  <c r="T24" i="10" s="1"/>
  <c r="R24" i="10"/>
  <c r="V30" i="10"/>
  <c r="N31" i="10"/>
  <c r="S33" i="10"/>
  <c r="Q34" i="10"/>
  <c r="M34" i="10"/>
  <c r="P34" i="10"/>
  <c r="L34" i="10"/>
  <c r="Q37" i="10"/>
  <c r="M37" i="10"/>
  <c r="P37" i="10"/>
  <c r="L37" i="10"/>
  <c r="V39" i="10"/>
  <c r="Q46" i="10"/>
  <c r="M46" i="10"/>
  <c r="M43" i="10" s="1"/>
  <c r="P46" i="10"/>
  <c r="P43" i="10" s="1"/>
  <c r="L46" i="10"/>
  <c r="D52" i="10"/>
  <c r="N48" i="10"/>
  <c r="N36" i="10"/>
  <c r="R36" i="10"/>
  <c r="S36" i="10" s="1"/>
  <c r="N40" i="10"/>
  <c r="R40" i="10"/>
  <c r="S40" i="10" s="1"/>
  <c r="N45" i="10"/>
  <c r="R45" i="10"/>
  <c r="S45" i="10" s="1"/>
  <c r="N33" i="10"/>
  <c r="O33" i="10" s="1"/>
  <c r="N50" i="10"/>
  <c r="O50" i="10" s="1"/>
  <c r="N25" i="10"/>
  <c r="O25" i="10" s="1"/>
  <c r="T25" i="10" s="1"/>
  <c r="N27" i="10"/>
  <c r="O27" i="10" s="1"/>
  <c r="N32" i="10"/>
  <c r="N35" i="10"/>
  <c r="L36" i="10"/>
  <c r="O36" i="10" s="1"/>
  <c r="Y36" i="10" s="1"/>
  <c r="Z36" i="10" s="1"/>
  <c r="N39" i="10"/>
  <c r="L40" i="10"/>
  <c r="N41" i="10"/>
  <c r="N44" i="10"/>
  <c r="N43" i="10" s="1"/>
  <c r="L45" i="10"/>
  <c r="L43" i="10" s="1"/>
  <c r="L41" i="9"/>
  <c r="P41" i="9"/>
  <c r="M41" i="9"/>
  <c r="Q41" i="9"/>
  <c r="N41" i="9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40" i="8"/>
  <c r="K40" i="13" s="1"/>
  <c r="K16" i="8"/>
  <c r="E43" i="8"/>
  <c r="F43" i="8"/>
  <c r="G43" i="8"/>
  <c r="H43" i="8"/>
  <c r="I43" i="8"/>
  <c r="J43" i="8"/>
  <c r="U43" i="8"/>
  <c r="W43" i="8"/>
  <c r="E15" i="8"/>
  <c r="F15" i="8"/>
  <c r="G15" i="8"/>
  <c r="H15" i="8"/>
  <c r="I15" i="8"/>
  <c r="J15" i="8"/>
  <c r="J52" i="8" s="1"/>
  <c r="U15" i="8"/>
  <c r="W15" i="8"/>
  <c r="Y40" i="12" l="1"/>
  <c r="Z40" i="12" s="1"/>
  <c r="K53" i="11"/>
  <c r="R15" i="11"/>
  <c r="O32" i="10"/>
  <c r="T32" i="10" s="1"/>
  <c r="N15" i="10"/>
  <c r="O29" i="11"/>
  <c r="M43" i="11"/>
  <c r="O34" i="11"/>
  <c r="T34" i="11" s="1"/>
  <c r="S30" i="11"/>
  <c r="S23" i="11"/>
  <c r="S20" i="11"/>
  <c r="Q15" i="12"/>
  <c r="S41" i="12"/>
  <c r="S27" i="12"/>
  <c r="V15" i="12"/>
  <c r="Q15" i="11"/>
  <c r="Q43" i="10"/>
  <c r="L15" i="10"/>
  <c r="P15" i="11"/>
  <c r="R15" i="10"/>
  <c r="V15" i="11"/>
  <c r="O39" i="10"/>
  <c r="T39" i="10" s="1"/>
  <c r="O26" i="10"/>
  <c r="T26" i="10" s="1"/>
  <c r="S12" i="10"/>
  <c r="S11" i="10" s="1"/>
  <c r="S49" i="11"/>
  <c r="S16" i="11"/>
  <c r="O25" i="12"/>
  <c r="M43" i="12"/>
  <c r="O19" i="12"/>
  <c r="M15" i="12"/>
  <c r="P15" i="12"/>
  <c r="D52" i="12"/>
  <c r="S32" i="11"/>
  <c r="S33" i="12"/>
  <c r="S44" i="10"/>
  <c r="O36" i="11"/>
  <c r="T36" i="11" s="1"/>
  <c r="L15" i="12"/>
  <c r="Q15" i="10"/>
  <c r="O22" i="10"/>
  <c r="T19" i="10"/>
  <c r="S16" i="10"/>
  <c r="N43" i="11"/>
  <c r="O30" i="11"/>
  <c r="Y30" i="11" s="1"/>
  <c r="Z30" i="11" s="1"/>
  <c r="O21" i="11"/>
  <c r="T21" i="11" s="1"/>
  <c r="N15" i="11"/>
  <c r="S47" i="11"/>
  <c r="S37" i="11"/>
  <c r="N43" i="12"/>
  <c r="O32" i="12"/>
  <c r="O33" i="12"/>
  <c r="Y48" i="12"/>
  <c r="Z48" i="12" s="1"/>
  <c r="O20" i="12"/>
  <c r="T20" i="12" s="1"/>
  <c r="N15" i="12"/>
  <c r="O48" i="12"/>
  <c r="T48" i="12" s="1"/>
  <c r="O21" i="12"/>
  <c r="R15" i="12"/>
  <c r="Y38" i="10"/>
  <c r="Z38" i="10" s="1"/>
  <c r="K15" i="8"/>
  <c r="S20" i="12"/>
  <c r="O41" i="12"/>
  <c r="Y41" i="12" s="1"/>
  <c r="Z41" i="12" s="1"/>
  <c r="O27" i="12"/>
  <c r="T27" i="12" s="1"/>
  <c r="S24" i="12"/>
  <c r="S21" i="12"/>
  <c r="O39" i="12"/>
  <c r="Y39" i="12" s="1"/>
  <c r="Z39" i="12" s="1"/>
  <c r="S31" i="12"/>
  <c r="S26" i="12"/>
  <c r="S40" i="12"/>
  <c r="R52" i="12"/>
  <c r="S39" i="12"/>
  <c r="T40" i="12"/>
  <c r="O34" i="12"/>
  <c r="T34" i="12" s="1"/>
  <c r="S30" i="12"/>
  <c r="S23" i="12"/>
  <c r="S25" i="12"/>
  <c r="O39" i="11"/>
  <c r="T39" i="11" s="1"/>
  <c r="T40" i="11"/>
  <c r="S35" i="11"/>
  <c r="O35" i="11"/>
  <c r="T35" i="11" s="1"/>
  <c r="S34" i="11"/>
  <c r="T30" i="11"/>
  <c r="O25" i="11"/>
  <c r="T25" i="11" s="1"/>
  <c r="S36" i="11"/>
  <c r="O33" i="11"/>
  <c r="S24" i="11"/>
  <c r="R53" i="11"/>
  <c r="Y22" i="11"/>
  <c r="Z22" i="11" s="1"/>
  <c r="S41" i="11"/>
  <c r="S27" i="11"/>
  <c r="O41" i="10"/>
  <c r="T41" i="10" s="1"/>
  <c r="O35" i="10"/>
  <c r="T35" i="10" s="1"/>
  <c r="Y39" i="10"/>
  <c r="O21" i="10"/>
  <c r="T21" i="10" s="1"/>
  <c r="O40" i="10"/>
  <c r="Y40" i="10" s="1"/>
  <c r="O37" i="10"/>
  <c r="Y37" i="10" s="1"/>
  <c r="Z37" i="10" s="1"/>
  <c r="O34" i="10"/>
  <c r="S31" i="10"/>
  <c r="S29" i="10"/>
  <c r="S25" i="10"/>
  <c r="T32" i="12"/>
  <c r="Y32" i="12"/>
  <c r="Z32" i="12" s="1"/>
  <c r="T33" i="12"/>
  <c r="Y33" i="12"/>
  <c r="Z33" i="12" s="1"/>
  <c r="T19" i="12"/>
  <c r="Y19" i="12"/>
  <c r="Z19" i="12" s="1"/>
  <c r="T29" i="12"/>
  <c r="Y29" i="12"/>
  <c r="Z29" i="12" s="1"/>
  <c r="Y25" i="12"/>
  <c r="Z25" i="12" s="1"/>
  <c r="T25" i="12"/>
  <c r="T35" i="12"/>
  <c r="Y35" i="12"/>
  <c r="Z35" i="12" s="1"/>
  <c r="T50" i="12"/>
  <c r="Y50" i="12"/>
  <c r="Z50" i="12" s="1"/>
  <c r="O24" i="12"/>
  <c r="M52" i="12"/>
  <c r="O46" i="12"/>
  <c r="T46" i="12" s="1"/>
  <c r="Q43" i="12"/>
  <c r="Q52" i="12" s="1"/>
  <c r="O22" i="12"/>
  <c r="Y17" i="12"/>
  <c r="Z17" i="12" s="1"/>
  <c r="O12" i="12"/>
  <c r="O11" i="12" s="1"/>
  <c r="N52" i="12"/>
  <c r="L43" i="12"/>
  <c r="O45" i="12"/>
  <c r="O37" i="12"/>
  <c r="T37" i="12" s="1"/>
  <c r="Y30" i="12"/>
  <c r="Z30" i="12" s="1"/>
  <c r="S16" i="12"/>
  <c r="V43" i="12"/>
  <c r="S14" i="12"/>
  <c r="S13" i="12" s="1"/>
  <c r="P13" i="12"/>
  <c r="S34" i="12"/>
  <c r="S48" i="12"/>
  <c r="O18" i="12"/>
  <c r="S45" i="12"/>
  <c r="P43" i="12"/>
  <c r="S37" i="12"/>
  <c r="O36" i="12"/>
  <c r="O16" i="12"/>
  <c r="O15" i="12" s="1"/>
  <c r="O14" i="12"/>
  <c r="L13" i="12"/>
  <c r="O44" i="12"/>
  <c r="Y23" i="12"/>
  <c r="Z23" i="12" s="1"/>
  <c r="O31" i="12"/>
  <c r="T31" i="12" s="1"/>
  <c r="Y26" i="12"/>
  <c r="Z26" i="12" s="1"/>
  <c r="O51" i="12"/>
  <c r="T51" i="12" s="1"/>
  <c r="S36" i="12"/>
  <c r="Y14" i="12"/>
  <c r="V13" i="12"/>
  <c r="Y34" i="12"/>
  <c r="Z34" i="12" s="1"/>
  <c r="Y20" i="12"/>
  <c r="Z20" i="12" s="1"/>
  <c r="Y27" i="12"/>
  <c r="Z27" i="12" s="1"/>
  <c r="S12" i="12"/>
  <c r="S11" i="12" s="1"/>
  <c r="T33" i="11"/>
  <c r="Y33" i="11"/>
  <c r="Z33" i="11" s="1"/>
  <c r="Y41" i="11"/>
  <c r="Z41" i="11" s="1"/>
  <c r="T41" i="11"/>
  <c r="Y27" i="11"/>
  <c r="Z27" i="11" s="1"/>
  <c r="T27" i="11"/>
  <c r="T29" i="11"/>
  <c r="Y29" i="11"/>
  <c r="Z29" i="11" s="1"/>
  <c r="Y25" i="11"/>
  <c r="Z25" i="11" s="1"/>
  <c r="T19" i="11"/>
  <c r="Y19" i="11"/>
  <c r="Z19" i="11" s="1"/>
  <c r="O46" i="11"/>
  <c r="P43" i="11"/>
  <c r="M53" i="11"/>
  <c r="Y36" i="11"/>
  <c r="Z36" i="11" s="1"/>
  <c r="N53" i="11"/>
  <c r="Y51" i="11"/>
  <c r="Z51" i="11" s="1"/>
  <c r="S46" i="11"/>
  <c r="O44" i="11"/>
  <c r="Y44" i="11" s="1"/>
  <c r="Y26" i="11"/>
  <c r="Z26" i="11" s="1"/>
  <c r="Y24" i="11"/>
  <c r="Z24" i="11" s="1"/>
  <c r="O17" i="11"/>
  <c r="T17" i="11" s="1"/>
  <c r="O14" i="11"/>
  <c r="L13" i="11"/>
  <c r="D53" i="11"/>
  <c r="O31" i="11"/>
  <c r="T31" i="11" s="1"/>
  <c r="S52" i="11"/>
  <c r="Y39" i="11"/>
  <c r="Z39" i="11" s="1"/>
  <c r="Y34" i="11"/>
  <c r="Z34" i="11" s="1"/>
  <c r="O23" i="11"/>
  <c r="V43" i="11"/>
  <c r="S17" i="11"/>
  <c r="Y31" i="11"/>
  <c r="Z31" i="11" s="1"/>
  <c r="Y21" i="11"/>
  <c r="Z21" i="11" s="1"/>
  <c r="S14" i="11"/>
  <c r="S13" i="11" s="1"/>
  <c r="P13" i="11"/>
  <c r="O18" i="11"/>
  <c r="O37" i="11"/>
  <c r="T37" i="11" s="1"/>
  <c r="P11" i="11"/>
  <c r="S12" i="11"/>
  <c r="S11" i="11" s="1"/>
  <c r="Y52" i="11"/>
  <c r="Z52" i="11" s="1"/>
  <c r="S31" i="11"/>
  <c r="O49" i="11"/>
  <c r="T49" i="11" s="1"/>
  <c r="L43" i="11"/>
  <c r="S40" i="11"/>
  <c r="S22" i="11"/>
  <c r="O47" i="11"/>
  <c r="T47" i="11" s="1"/>
  <c r="Q43" i="11"/>
  <c r="Q53" i="11" s="1"/>
  <c r="Y32" i="11"/>
  <c r="Z32" i="11" s="1"/>
  <c r="O20" i="11"/>
  <c r="T20" i="11" s="1"/>
  <c r="O16" i="11"/>
  <c r="O15" i="11" s="1"/>
  <c r="L11" i="11"/>
  <c r="L53" i="11" s="1"/>
  <c r="O12" i="11"/>
  <c r="O11" i="11" s="1"/>
  <c r="Q52" i="10"/>
  <c r="T33" i="10"/>
  <c r="Y33" i="10"/>
  <c r="Z33" i="10" s="1"/>
  <c r="T50" i="10"/>
  <c r="Y50" i="10"/>
  <c r="Z50" i="10" s="1"/>
  <c r="M52" i="10"/>
  <c r="T27" i="10"/>
  <c r="Y27" i="10"/>
  <c r="Z27" i="10" s="1"/>
  <c r="T22" i="10"/>
  <c r="Y22" i="10"/>
  <c r="Z22" i="10" s="1"/>
  <c r="O44" i="10"/>
  <c r="O46" i="10"/>
  <c r="S37" i="10"/>
  <c r="T37" i="10"/>
  <c r="S46" i="10"/>
  <c r="Y30" i="10"/>
  <c r="Z30" i="10" s="1"/>
  <c r="T36" i="10"/>
  <c r="O48" i="10"/>
  <c r="O23" i="10"/>
  <c r="N52" i="10"/>
  <c r="O16" i="10"/>
  <c r="L11" i="10"/>
  <c r="O12" i="10"/>
  <c r="O11" i="10" s="1"/>
  <c r="R52" i="10"/>
  <c r="O31" i="10"/>
  <c r="T31" i="10" s="1"/>
  <c r="Y21" i="10"/>
  <c r="Z21" i="10" s="1"/>
  <c r="O20" i="10"/>
  <c r="Y25" i="10"/>
  <c r="Z25" i="10" s="1"/>
  <c r="O45" i="10"/>
  <c r="O18" i="10"/>
  <c r="T18" i="10" s="1"/>
  <c r="O51" i="10"/>
  <c r="Y41" i="10"/>
  <c r="Y29" i="10"/>
  <c r="Z29" i="10" s="1"/>
  <c r="S17" i="10"/>
  <c r="P52" i="10"/>
  <c r="Y26" i="10"/>
  <c r="Z26" i="10" s="1"/>
  <c r="O14" i="10"/>
  <c r="S34" i="10"/>
  <c r="S51" i="10"/>
  <c r="Y32" i="10"/>
  <c r="Z32" i="10" s="1"/>
  <c r="S24" i="10"/>
  <c r="Y44" i="10"/>
  <c r="O17" i="10"/>
  <c r="Y24" i="10"/>
  <c r="Z24" i="10" s="1"/>
  <c r="S41" i="9"/>
  <c r="O41" i="9"/>
  <c r="P41" i="13" s="1"/>
  <c r="Q41" i="13" s="1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16" i="7"/>
  <c r="J11" i="7"/>
  <c r="J13" i="7"/>
  <c r="O43" i="10" l="1"/>
  <c r="Y37" i="12"/>
  <c r="Z37" i="12" s="1"/>
  <c r="Y51" i="12"/>
  <c r="Z51" i="12" s="1"/>
  <c r="S15" i="12"/>
  <c r="S15" i="10"/>
  <c r="S15" i="11"/>
  <c r="X41" i="13"/>
  <c r="Y31" i="10"/>
  <c r="Z31" i="10" s="1"/>
  <c r="O15" i="10"/>
  <c r="T16" i="10"/>
  <c r="Y21" i="12"/>
  <c r="Z21" i="12" s="1"/>
  <c r="T21" i="12"/>
  <c r="S43" i="10"/>
  <c r="Z40" i="10"/>
  <c r="Z41" i="10"/>
  <c r="Z39" i="10"/>
  <c r="V52" i="10"/>
  <c r="V52" i="12"/>
  <c r="T39" i="12"/>
  <c r="T41" i="12"/>
  <c r="Y35" i="11"/>
  <c r="Z35" i="11" s="1"/>
  <c r="Y35" i="10"/>
  <c r="Z35" i="10" s="1"/>
  <c r="T40" i="10"/>
  <c r="Y34" i="10"/>
  <c r="Z34" i="10" s="1"/>
  <c r="T34" i="10"/>
  <c r="Y18" i="10"/>
  <c r="Z18" i="10" s="1"/>
  <c r="O43" i="12"/>
  <c r="T44" i="12"/>
  <c r="T43" i="12" s="1"/>
  <c r="Y46" i="12"/>
  <c r="Z46" i="12" s="1"/>
  <c r="Y45" i="12"/>
  <c r="Z45" i="12" s="1"/>
  <c r="T45" i="12"/>
  <c r="Y31" i="12"/>
  <c r="Z31" i="12" s="1"/>
  <c r="L52" i="12"/>
  <c r="Y16" i="12"/>
  <c r="T16" i="12"/>
  <c r="S43" i="12"/>
  <c r="S52" i="12" s="1"/>
  <c r="Y22" i="12"/>
  <c r="Z22" i="12" s="1"/>
  <c r="T22" i="12"/>
  <c r="Z14" i="12"/>
  <c r="Z13" i="12" s="1"/>
  <c r="Y13" i="12"/>
  <c r="O13" i="12"/>
  <c r="T14" i="12"/>
  <c r="T13" i="12" s="1"/>
  <c r="Y36" i="12"/>
  <c r="Z36" i="12" s="1"/>
  <c r="T36" i="12"/>
  <c r="Y18" i="12"/>
  <c r="Z18" i="12" s="1"/>
  <c r="T18" i="12"/>
  <c r="P52" i="12"/>
  <c r="Y44" i="12"/>
  <c r="O52" i="12"/>
  <c r="T24" i="12"/>
  <c r="Y24" i="12"/>
  <c r="Z24" i="12" s="1"/>
  <c r="Y18" i="11"/>
  <c r="Z18" i="11" s="1"/>
  <c r="T18" i="11"/>
  <c r="V53" i="11"/>
  <c r="S43" i="11"/>
  <c r="S53" i="11" s="1"/>
  <c r="Y20" i="11"/>
  <c r="Z20" i="11" s="1"/>
  <c r="T14" i="11"/>
  <c r="T13" i="11" s="1"/>
  <c r="Y14" i="11"/>
  <c r="O13" i="11"/>
  <c r="Y17" i="11"/>
  <c r="Z17" i="11" s="1"/>
  <c r="Y49" i="11"/>
  <c r="Z49" i="11" s="1"/>
  <c r="Y46" i="11"/>
  <c r="Z46" i="11" s="1"/>
  <c r="T46" i="11"/>
  <c r="O43" i="11"/>
  <c r="O53" i="11" s="1"/>
  <c r="T44" i="11"/>
  <c r="Y37" i="11"/>
  <c r="Z37" i="11" s="1"/>
  <c r="T16" i="11"/>
  <c r="Y16" i="11"/>
  <c r="P53" i="11"/>
  <c r="T23" i="11"/>
  <c r="Y23" i="11"/>
  <c r="Z23" i="11" s="1"/>
  <c r="Y47" i="11"/>
  <c r="Z47" i="11" s="1"/>
  <c r="S52" i="10"/>
  <c r="T17" i="10"/>
  <c r="Y17" i="10"/>
  <c r="Z17" i="10" s="1"/>
  <c r="Y51" i="10"/>
  <c r="Z51" i="10" s="1"/>
  <c r="T51" i="10"/>
  <c r="T23" i="10"/>
  <c r="Y23" i="10"/>
  <c r="Z23" i="10" s="1"/>
  <c r="Y46" i="10"/>
  <c r="Z46" i="10" s="1"/>
  <c r="T46" i="10"/>
  <c r="Z44" i="10"/>
  <c r="O13" i="10"/>
  <c r="T14" i="10"/>
  <c r="T13" i="10" s="1"/>
  <c r="Y14" i="10"/>
  <c r="L52" i="10"/>
  <c r="T44" i="10"/>
  <c r="T43" i="10" s="1"/>
  <c r="Y20" i="10"/>
  <c r="Z20" i="10" s="1"/>
  <c r="T20" i="10"/>
  <c r="Y16" i="10"/>
  <c r="Y48" i="10"/>
  <c r="Z48" i="10" s="1"/>
  <c r="T48" i="10"/>
  <c r="Y45" i="10"/>
  <c r="Z45" i="10" s="1"/>
  <c r="T45" i="10"/>
  <c r="Y41" i="9"/>
  <c r="Z41" i="9" s="1"/>
  <c r="T41" i="9"/>
  <c r="V51" i="9"/>
  <c r="D51" i="9"/>
  <c r="R51" i="9" s="1"/>
  <c r="P50" i="9"/>
  <c r="L50" i="9"/>
  <c r="V50" i="9"/>
  <c r="D50" i="9"/>
  <c r="R50" i="9" s="1"/>
  <c r="D48" i="9"/>
  <c r="R48" i="9" s="1"/>
  <c r="Y47" i="9"/>
  <c r="Z47" i="9" s="1"/>
  <c r="D46" i="9"/>
  <c r="R46" i="9" s="1"/>
  <c r="X45" i="9"/>
  <c r="X43" i="9" s="1"/>
  <c r="V45" i="9"/>
  <c r="D45" i="9"/>
  <c r="R45" i="9" s="1"/>
  <c r="V44" i="9"/>
  <c r="L44" i="9"/>
  <c r="D44" i="9"/>
  <c r="V40" i="9"/>
  <c r="D40" i="9"/>
  <c r="R40" i="9" s="1"/>
  <c r="V39" i="9"/>
  <c r="D39" i="9"/>
  <c r="R39" i="9" s="1"/>
  <c r="V38" i="9"/>
  <c r="Y38" i="9" s="1"/>
  <c r="Z38" i="9" s="1"/>
  <c r="V37" i="9"/>
  <c r="D37" i="9"/>
  <c r="P37" i="9" s="1"/>
  <c r="X36" i="9"/>
  <c r="V36" i="9"/>
  <c r="D36" i="9"/>
  <c r="R36" i="9" s="1"/>
  <c r="V35" i="9"/>
  <c r="D35" i="9"/>
  <c r="R35" i="9" s="1"/>
  <c r="X34" i="9"/>
  <c r="V34" i="9"/>
  <c r="D34" i="9"/>
  <c r="P34" i="9" s="1"/>
  <c r="M33" i="9"/>
  <c r="D33" i="9"/>
  <c r="R33" i="9" s="1"/>
  <c r="X32" i="9"/>
  <c r="V32" i="9"/>
  <c r="D32" i="9"/>
  <c r="R32" i="9" s="1"/>
  <c r="X31" i="9"/>
  <c r="V31" i="9"/>
  <c r="D31" i="9"/>
  <c r="P31" i="9" s="1"/>
  <c r="X30" i="9"/>
  <c r="V30" i="9"/>
  <c r="M30" i="9"/>
  <c r="D30" i="9"/>
  <c r="R30" i="9" s="1"/>
  <c r="X29" i="9"/>
  <c r="D29" i="9"/>
  <c r="R29" i="9" s="1"/>
  <c r="X27" i="9"/>
  <c r="L27" i="9"/>
  <c r="D27" i="9"/>
  <c r="R27" i="9" s="1"/>
  <c r="V26" i="9"/>
  <c r="D26" i="9"/>
  <c r="P26" i="9" s="1"/>
  <c r="L25" i="9"/>
  <c r="D25" i="9"/>
  <c r="R25" i="9" s="1"/>
  <c r="X24" i="9"/>
  <c r="R24" i="9"/>
  <c r="V24" i="9"/>
  <c r="D24" i="9"/>
  <c r="N24" i="9" s="1"/>
  <c r="L23" i="9"/>
  <c r="V23" i="9"/>
  <c r="D23" i="9"/>
  <c r="R23" i="9" s="1"/>
  <c r="V22" i="9"/>
  <c r="D22" i="9"/>
  <c r="R22" i="9" s="1"/>
  <c r="X21" i="9"/>
  <c r="V21" i="9"/>
  <c r="D21" i="9"/>
  <c r="P21" i="9" s="1"/>
  <c r="X20" i="9"/>
  <c r="Q20" i="9"/>
  <c r="M20" i="9"/>
  <c r="L20" i="9"/>
  <c r="V20" i="9"/>
  <c r="D20" i="9"/>
  <c r="R20" i="9" s="1"/>
  <c r="V19" i="9"/>
  <c r="Q19" i="9"/>
  <c r="M19" i="9"/>
  <c r="D19" i="9"/>
  <c r="R19" i="9" s="1"/>
  <c r="X18" i="9"/>
  <c r="V18" i="9"/>
  <c r="D18" i="9"/>
  <c r="R18" i="9" s="1"/>
  <c r="X17" i="9"/>
  <c r="V17" i="9"/>
  <c r="D17" i="9"/>
  <c r="R17" i="9" s="1"/>
  <c r="V16" i="9"/>
  <c r="D16" i="9"/>
  <c r="K14" i="9"/>
  <c r="K13" i="9" s="1"/>
  <c r="D14" i="9"/>
  <c r="P14" i="9" s="1"/>
  <c r="X13" i="9"/>
  <c r="W13" i="9"/>
  <c r="U13" i="9"/>
  <c r="I13" i="9"/>
  <c r="H13" i="9"/>
  <c r="G13" i="9"/>
  <c r="F13" i="9"/>
  <c r="E13" i="9"/>
  <c r="V12" i="9"/>
  <c r="V11" i="9" s="1"/>
  <c r="D12" i="9"/>
  <c r="Q12" i="9" s="1"/>
  <c r="Q11" i="9" s="1"/>
  <c r="Z11" i="9"/>
  <c r="Y11" i="9"/>
  <c r="X11" i="9"/>
  <c r="W11" i="9"/>
  <c r="U11" i="9"/>
  <c r="T11" i="9"/>
  <c r="K11" i="9"/>
  <c r="I11" i="9"/>
  <c r="H11" i="9"/>
  <c r="G11" i="9"/>
  <c r="G52" i="9" s="1"/>
  <c r="F11" i="9"/>
  <c r="F52" i="9" s="1"/>
  <c r="E11" i="9"/>
  <c r="V40" i="8"/>
  <c r="D40" i="8"/>
  <c r="P40" i="8" s="1"/>
  <c r="D39" i="8"/>
  <c r="R39" i="8" s="1"/>
  <c r="W13" i="7"/>
  <c r="E15" i="7"/>
  <c r="F15" i="7"/>
  <c r="G15" i="7"/>
  <c r="H15" i="7"/>
  <c r="I15" i="7"/>
  <c r="J15" i="7"/>
  <c r="J52" i="7" s="1"/>
  <c r="U15" i="7"/>
  <c r="W15" i="7"/>
  <c r="E43" i="7"/>
  <c r="F43" i="7"/>
  <c r="G43" i="7"/>
  <c r="H43" i="7"/>
  <c r="I43" i="7"/>
  <c r="J43" i="7"/>
  <c r="U43" i="7"/>
  <c r="W43" i="7"/>
  <c r="Y15" i="12" l="1"/>
  <c r="T15" i="11"/>
  <c r="K52" i="9"/>
  <c r="D15" i="9"/>
  <c r="R44" i="9"/>
  <c r="R43" i="9" s="1"/>
  <c r="D43" i="9"/>
  <c r="Q44" i="9"/>
  <c r="Y15" i="11"/>
  <c r="T15" i="10"/>
  <c r="U52" i="9"/>
  <c r="M16" i="9"/>
  <c r="X15" i="9"/>
  <c r="P20" i="9"/>
  <c r="S20" i="9" s="1"/>
  <c r="N22" i="9"/>
  <c r="Q26" i="9"/>
  <c r="M31" i="9"/>
  <c r="N35" i="9"/>
  <c r="L36" i="9"/>
  <c r="M44" i="9"/>
  <c r="L46" i="9"/>
  <c r="Y15" i="10"/>
  <c r="Z43" i="10"/>
  <c r="W52" i="9"/>
  <c r="Q16" i="9"/>
  <c r="M36" i="9"/>
  <c r="S40" i="13"/>
  <c r="P44" i="9"/>
  <c r="P46" i="9"/>
  <c r="T15" i="12"/>
  <c r="T52" i="12" s="1"/>
  <c r="Y43" i="10"/>
  <c r="V41" i="13"/>
  <c r="W41" i="13"/>
  <c r="M39" i="8"/>
  <c r="M40" i="8"/>
  <c r="Q39" i="8"/>
  <c r="S39" i="8" s="1"/>
  <c r="L39" i="8"/>
  <c r="P39" i="8"/>
  <c r="Q40" i="8"/>
  <c r="T38" i="9"/>
  <c r="M17" i="9"/>
  <c r="P23" i="9"/>
  <c r="M25" i="9"/>
  <c r="M27" i="9"/>
  <c r="L29" i="9"/>
  <c r="Q31" i="9"/>
  <c r="M37" i="9"/>
  <c r="Q29" i="9"/>
  <c r="L30" i="9"/>
  <c r="Q37" i="9"/>
  <c r="O52" i="10"/>
  <c r="Y43" i="12"/>
  <c r="Y52" i="12" s="1"/>
  <c r="Z44" i="12"/>
  <c r="Z43" i="12" s="1"/>
  <c r="Z16" i="12"/>
  <c r="Z15" i="12" s="1"/>
  <c r="Z43" i="11"/>
  <c r="Z16" i="11"/>
  <c r="Z15" i="11" s="1"/>
  <c r="T43" i="11"/>
  <c r="Y13" i="11"/>
  <c r="Z14" i="11"/>
  <c r="Z13" i="11" s="1"/>
  <c r="Y43" i="11"/>
  <c r="Y13" i="10"/>
  <c r="Y52" i="10" s="1"/>
  <c r="Z14" i="10"/>
  <c r="Z13" i="10" s="1"/>
  <c r="Z16" i="10"/>
  <c r="Z15" i="10" s="1"/>
  <c r="T52" i="10"/>
  <c r="H52" i="9"/>
  <c r="E52" i="9"/>
  <c r="I52" i="9"/>
  <c r="P18" i="9"/>
  <c r="P40" i="9"/>
  <c r="Q40" i="9"/>
  <c r="Q17" i="9"/>
  <c r="L18" i="9"/>
  <c r="M21" i="9"/>
  <c r="P25" i="9"/>
  <c r="P27" i="9"/>
  <c r="M29" i="9"/>
  <c r="P30" i="9"/>
  <c r="N32" i="9"/>
  <c r="Q33" i="9"/>
  <c r="M34" i="9"/>
  <c r="P36" i="9"/>
  <c r="L40" i="9"/>
  <c r="P17" i="9"/>
  <c r="S17" i="9" s="1"/>
  <c r="Q18" i="9"/>
  <c r="P33" i="9"/>
  <c r="L17" i="9"/>
  <c r="M18" i="9"/>
  <c r="Q21" i="9"/>
  <c r="Q25" i="9"/>
  <c r="M26" i="9"/>
  <c r="P29" i="9"/>
  <c r="S29" i="9" s="1"/>
  <c r="Q30" i="9"/>
  <c r="L33" i="9"/>
  <c r="Q34" i="9"/>
  <c r="Q36" i="9"/>
  <c r="S36" i="9" s="1"/>
  <c r="M40" i="9"/>
  <c r="P13" i="9"/>
  <c r="R14" i="9"/>
  <c r="R13" i="9" s="1"/>
  <c r="L12" i="9"/>
  <c r="N16" i="9"/>
  <c r="N19" i="9"/>
  <c r="D11" i="9"/>
  <c r="N12" i="9"/>
  <c r="N11" i="9" s="1"/>
  <c r="R12" i="9"/>
  <c r="R11" i="9" s="1"/>
  <c r="M14" i="9"/>
  <c r="M13" i="9" s="1"/>
  <c r="Q14" i="9"/>
  <c r="Q13" i="9" s="1"/>
  <c r="V14" i="9"/>
  <c r="L16" i="9"/>
  <c r="P16" i="9"/>
  <c r="N17" i="9"/>
  <c r="O17" i="9" s="1"/>
  <c r="Y17" i="9" s="1"/>
  <c r="Z17" i="9" s="1"/>
  <c r="L19" i="9"/>
  <c r="P19" i="9"/>
  <c r="S19" i="9" s="1"/>
  <c r="N20" i="9"/>
  <c r="O20" i="9" s="1"/>
  <c r="T20" i="9" s="1"/>
  <c r="Q22" i="9"/>
  <c r="M22" i="9"/>
  <c r="P22" i="9"/>
  <c r="L22" i="9"/>
  <c r="V25" i="9"/>
  <c r="V15" i="9" s="1"/>
  <c r="N39" i="9"/>
  <c r="N45" i="9"/>
  <c r="V46" i="9"/>
  <c r="V43" i="9" s="1"/>
  <c r="V48" i="9"/>
  <c r="N14" i="9"/>
  <c r="N13" i="9" s="1"/>
  <c r="V33" i="9"/>
  <c r="Q51" i="9"/>
  <c r="M51" i="9"/>
  <c r="P51" i="9"/>
  <c r="L51" i="9"/>
  <c r="P12" i="9"/>
  <c r="V27" i="9"/>
  <c r="V29" i="9"/>
  <c r="Q39" i="9"/>
  <c r="M39" i="9"/>
  <c r="P39" i="9"/>
  <c r="L39" i="9"/>
  <c r="S44" i="9"/>
  <c r="Q45" i="9"/>
  <c r="M45" i="9"/>
  <c r="P45" i="9"/>
  <c r="L45" i="9"/>
  <c r="X52" i="9"/>
  <c r="R16" i="9"/>
  <c r="Q24" i="9"/>
  <c r="M24" i="9"/>
  <c r="P24" i="9"/>
  <c r="L24" i="9"/>
  <c r="M12" i="9"/>
  <c r="M11" i="9" s="1"/>
  <c r="D13" i="9"/>
  <c r="L14" i="9"/>
  <c r="N18" i="9"/>
  <c r="S30" i="9"/>
  <c r="Q32" i="9"/>
  <c r="M32" i="9"/>
  <c r="P32" i="9"/>
  <c r="L32" i="9"/>
  <c r="Q35" i="9"/>
  <c r="M35" i="9"/>
  <c r="P35" i="9"/>
  <c r="L35" i="9"/>
  <c r="N51" i="9"/>
  <c r="N21" i="9"/>
  <c r="R21" i="9"/>
  <c r="S21" i="9" s="1"/>
  <c r="M23" i="9"/>
  <c r="Q23" i="9"/>
  <c r="S23" i="9" s="1"/>
  <c r="N26" i="9"/>
  <c r="R26" i="9"/>
  <c r="S26" i="9" s="1"/>
  <c r="N31" i="9"/>
  <c r="R31" i="9"/>
  <c r="S31" i="9" s="1"/>
  <c r="N34" i="9"/>
  <c r="R34" i="9"/>
  <c r="N37" i="9"/>
  <c r="R37" i="9"/>
  <c r="S37" i="9" s="1"/>
  <c r="L48" i="9"/>
  <c r="P48" i="9"/>
  <c r="M50" i="9"/>
  <c r="Q50" i="9"/>
  <c r="S50" i="9" s="1"/>
  <c r="N23" i="9"/>
  <c r="Q27" i="9"/>
  <c r="N30" i="9"/>
  <c r="O30" i="9" s="1"/>
  <c r="T30" i="9" s="1"/>
  <c r="N36" i="9"/>
  <c r="O36" i="9" s="1"/>
  <c r="N40" i="9"/>
  <c r="O40" i="9" s="1"/>
  <c r="N44" i="9"/>
  <c r="M46" i="9"/>
  <c r="Q46" i="9"/>
  <c r="S46" i="9" s="1"/>
  <c r="M48" i="9"/>
  <c r="Q48" i="9"/>
  <c r="N50" i="9"/>
  <c r="O50" i="9" s="1"/>
  <c r="T50" i="9" s="1"/>
  <c r="L21" i="9"/>
  <c r="O21" i="9" s="1"/>
  <c r="T21" i="9" s="1"/>
  <c r="N25" i="9"/>
  <c r="L26" i="9"/>
  <c r="N27" i="9"/>
  <c r="N29" i="9"/>
  <c r="O29" i="9" s="1"/>
  <c r="T29" i="9" s="1"/>
  <c r="L31" i="9"/>
  <c r="N33" i="9"/>
  <c r="O33" i="9" s="1"/>
  <c r="T33" i="9" s="1"/>
  <c r="L34" i="9"/>
  <c r="L37" i="9"/>
  <c r="N46" i="9"/>
  <c r="N48" i="9"/>
  <c r="S40" i="8"/>
  <c r="N40" i="8"/>
  <c r="R40" i="8"/>
  <c r="L40" i="8"/>
  <c r="O39" i="8"/>
  <c r="V39" i="8"/>
  <c r="S39" i="13" s="1"/>
  <c r="N39" i="8"/>
  <c r="Q15" i="9" l="1"/>
  <c r="T39" i="8"/>
  <c r="P15" i="9"/>
  <c r="Y20" i="9"/>
  <c r="Z20" i="9" s="1"/>
  <c r="P43" i="9"/>
  <c r="O35" i="9"/>
  <c r="Y35" i="9" s="1"/>
  <c r="Z35" i="9" s="1"/>
  <c r="O32" i="9"/>
  <c r="Y32" i="9" s="1"/>
  <c r="Z32" i="9" s="1"/>
  <c r="O45" i="9"/>
  <c r="L15" i="9"/>
  <c r="N15" i="9"/>
  <c r="M43" i="9"/>
  <c r="L43" i="9"/>
  <c r="Q43" i="9"/>
  <c r="O31" i="9"/>
  <c r="T31" i="9" s="1"/>
  <c r="N43" i="9"/>
  <c r="S35" i="9"/>
  <c r="S32" i="9"/>
  <c r="R15" i="9"/>
  <c r="O19" i="9"/>
  <c r="Y19" i="9" s="1"/>
  <c r="Z19" i="9" s="1"/>
  <c r="S18" i="9"/>
  <c r="M15" i="9"/>
  <c r="Y53" i="11"/>
  <c r="T53" i="11"/>
  <c r="Z52" i="12"/>
  <c r="Z53" i="11"/>
  <c r="O26" i="9"/>
  <c r="Y26" i="9" s="1"/>
  <c r="Z26" i="9" s="1"/>
  <c r="O27" i="9"/>
  <c r="T27" i="9" s="1"/>
  <c r="O18" i="9"/>
  <c r="T18" i="9" s="1"/>
  <c r="O25" i="9"/>
  <c r="T25" i="9" s="1"/>
  <c r="S27" i="9"/>
  <c r="S34" i="9"/>
  <c r="S40" i="9"/>
  <c r="Z52" i="10"/>
  <c r="O37" i="9"/>
  <c r="Y37" i="9" s="1"/>
  <c r="Z37" i="9" s="1"/>
  <c r="O24" i="9"/>
  <c r="Y25" i="9"/>
  <c r="Z25" i="9" s="1"/>
  <c r="O34" i="9"/>
  <c r="O23" i="9"/>
  <c r="T23" i="9" s="1"/>
  <c r="Y31" i="9"/>
  <c r="Z31" i="9" s="1"/>
  <c r="S33" i="9"/>
  <c r="S25" i="9"/>
  <c r="T36" i="9"/>
  <c r="Y36" i="9"/>
  <c r="Z36" i="9" s="1"/>
  <c r="T40" i="9"/>
  <c r="Y40" i="9"/>
  <c r="T32" i="9"/>
  <c r="S48" i="9"/>
  <c r="T37" i="9"/>
  <c r="S24" i="9"/>
  <c r="R52" i="9"/>
  <c r="S45" i="9"/>
  <c r="S43" i="9" s="1"/>
  <c r="S39" i="9"/>
  <c r="Y21" i="9"/>
  <c r="Z21" i="9" s="1"/>
  <c r="S51" i="9"/>
  <c r="O22" i="9"/>
  <c r="S16" i="9"/>
  <c r="D52" i="9"/>
  <c r="O46" i="9"/>
  <c r="T46" i="9" s="1"/>
  <c r="O48" i="9"/>
  <c r="T48" i="9" s="1"/>
  <c r="Y29" i="9"/>
  <c r="Z29" i="9" s="1"/>
  <c r="Y33" i="9"/>
  <c r="Z33" i="9" s="1"/>
  <c r="T26" i="9"/>
  <c r="Y48" i="9"/>
  <c r="Z48" i="9" s="1"/>
  <c r="S22" i="9"/>
  <c r="O16" i="9"/>
  <c r="T17" i="9"/>
  <c r="T19" i="9"/>
  <c r="V13" i="9"/>
  <c r="V52" i="9" s="1"/>
  <c r="P11" i="9"/>
  <c r="P52" i="9" s="1"/>
  <c r="S12" i="9"/>
  <c r="S11" i="9" s="1"/>
  <c r="T35" i="9"/>
  <c r="O14" i="9"/>
  <c r="L13" i="9"/>
  <c r="O39" i="9"/>
  <c r="P39" i="13" s="1"/>
  <c r="Y30" i="9"/>
  <c r="Z30" i="9" s="1"/>
  <c r="O51" i="9"/>
  <c r="Y50" i="9"/>
  <c r="Z50" i="9" s="1"/>
  <c r="O44" i="9"/>
  <c r="L11" i="9"/>
  <c r="L52" i="9" s="1"/>
  <c r="O12" i="9"/>
  <c r="O11" i="9" s="1"/>
  <c r="S14" i="9"/>
  <c r="S13" i="9" s="1"/>
  <c r="O40" i="8"/>
  <c r="P40" i="13" s="1"/>
  <c r="Q40" i="13" s="1"/>
  <c r="Y39" i="8"/>
  <c r="Z39" i="8" s="1"/>
  <c r="E15" i="6"/>
  <c r="F15" i="6"/>
  <c r="G15" i="6"/>
  <c r="H15" i="6"/>
  <c r="I15" i="6"/>
  <c r="J15" i="6"/>
  <c r="U15" i="6"/>
  <c r="W15" i="6"/>
  <c r="E43" i="6"/>
  <c r="F43" i="6"/>
  <c r="G43" i="6"/>
  <c r="H43" i="6"/>
  <c r="I43" i="6"/>
  <c r="J43" i="6"/>
  <c r="U43" i="6"/>
  <c r="W43" i="6"/>
  <c r="Y11" i="6"/>
  <c r="K16" i="6"/>
  <c r="K14" i="6"/>
  <c r="J13" i="6"/>
  <c r="J11" i="6"/>
  <c r="K45" i="6"/>
  <c r="K46" i="6"/>
  <c r="K47" i="6"/>
  <c r="K48" i="6"/>
  <c r="K49" i="6"/>
  <c r="K50" i="6"/>
  <c r="K51" i="6"/>
  <c r="K44" i="6"/>
  <c r="K43" i="6" s="1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Q39" i="13" l="1"/>
  <c r="X39" i="13"/>
  <c r="O43" i="9"/>
  <c r="Y46" i="9"/>
  <c r="Z46" i="9" s="1"/>
  <c r="O15" i="9"/>
  <c r="X40" i="13"/>
  <c r="Y45" i="9"/>
  <c r="Z45" i="9" s="1"/>
  <c r="T45" i="9"/>
  <c r="S15" i="9"/>
  <c r="Z40" i="9"/>
  <c r="K15" i="6"/>
  <c r="M52" i="9"/>
  <c r="Y23" i="9"/>
  <c r="Z23" i="9" s="1"/>
  <c r="Y18" i="9"/>
  <c r="Z18" i="9" s="1"/>
  <c r="Y27" i="9"/>
  <c r="Z27" i="9" s="1"/>
  <c r="N52" i="9"/>
  <c r="Y24" i="9"/>
  <c r="Z24" i="9" s="1"/>
  <c r="T24" i="9"/>
  <c r="Q52" i="9"/>
  <c r="Y34" i="9"/>
  <c r="Z34" i="9" s="1"/>
  <c r="T34" i="9"/>
  <c r="Y39" i="9"/>
  <c r="T39" i="9"/>
  <c r="T44" i="9"/>
  <c r="Y44" i="9"/>
  <c r="O13" i="9"/>
  <c r="T14" i="9"/>
  <c r="T13" i="9" s="1"/>
  <c r="T51" i="9"/>
  <c r="Y51" i="9"/>
  <c r="Z51" i="9" s="1"/>
  <c r="T16" i="9"/>
  <c r="Y16" i="9"/>
  <c r="S52" i="9"/>
  <c r="Y14" i="9"/>
  <c r="Z14" i="9" s="1"/>
  <c r="Y22" i="9"/>
  <c r="Z22" i="9" s="1"/>
  <c r="T22" i="9"/>
  <c r="T40" i="8"/>
  <c r="Y40" i="8"/>
  <c r="Z40" i="8" s="1"/>
  <c r="J52" i="6"/>
  <c r="V40" i="13" l="1"/>
  <c r="W40" i="13"/>
  <c r="T43" i="9"/>
  <c r="Y43" i="9"/>
  <c r="Z39" i="9"/>
  <c r="W39" i="13" s="1"/>
  <c r="V39" i="13"/>
  <c r="Y15" i="9"/>
  <c r="T15" i="9"/>
  <c r="O52" i="9"/>
  <c r="Z16" i="9"/>
  <c r="Z15" i="9" s="1"/>
  <c r="Z44" i="9"/>
  <c r="Z43" i="9" s="1"/>
  <c r="Y13" i="9"/>
  <c r="Z13" i="9"/>
  <c r="T52" i="9" l="1"/>
  <c r="Z52" i="9"/>
  <c r="Y52" i="9"/>
  <c r="E15" i="5"/>
  <c r="F15" i="5"/>
  <c r="G15" i="5"/>
  <c r="H15" i="5"/>
  <c r="I15" i="5"/>
  <c r="J15" i="5"/>
  <c r="U15" i="5"/>
  <c r="W15" i="5"/>
  <c r="P38" i="13" l="1"/>
  <c r="Y49" i="13"/>
  <c r="Y48" i="13"/>
  <c r="Y47" i="13"/>
  <c r="Y46" i="13"/>
  <c r="Y45" i="13"/>
  <c r="Y44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4" i="13"/>
  <c r="Y13" i="13" s="1"/>
  <c r="Y11" i="13"/>
  <c r="X11" i="13"/>
  <c r="V51" i="6"/>
  <c r="T45" i="13"/>
  <c r="T46" i="13"/>
  <c r="T47" i="13"/>
  <c r="T48" i="13"/>
  <c r="T49" i="13"/>
  <c r="T50" i="13"/>
  <c r="T51" i="13"/>
  <c r="T44" i="13"/>
  <c r="T16" i="13"/>
  <c r="U16" i="13"/>
  <c r="T17" i="13"/>
  <c r="T18" i="13"/>
  <c r="T19" i="13"/>
  <c r="U19" i="13"/>
  <c r="T20" i="13"/>
  <c r="T21" i="13"/>
  <c r="T22" i="13"/>
  <c r="U22" i="13"/>
  <c r="T23" i="13"/>
  <c r="U23" i="13"/>
  <c r="T24" i="13"/>
  <c r="T25" i="13"/>
  <c r="U25" i="13"/>
  <c r="T26" i="13"/>
  <c r="U26" i="13"/>
  <c r="T27" i="13"/>
  <c r="T28" i="13"/>
  <c r="T29" i="13"/>
  <c r="T30" i="13"/>
  <c r="T31" i="13"/>
  <c r="T32" i="13"/>
  <c r="T33" i="13"/>
  <c r="U33" i="13"/>
  <c r="T34" i="13"/>
  <c r="T35" i="13"/>
  <c r="U35" i="13"/>
  <c r="T36" i="13"/>
  <c r="T37" i="13"/>
  <c r="U37" i="13"/>
  <c r="T38" i="13"/>
  <c r="U38" i="13"/>
  <c r="U44" i="13"/>
  <c r="U46" i="13"/>
  <c r="U47" i="13"/>
  <c r="U48" i="13"/>
  <c r="U49" i="13"/>
  <c r="U14" i="13"/>
  <c r="U13" i="13" s="1"/>
  <c r="T14" i="13"/>
  <c r="T13" i="13" s="1"/>
  <c r="W11" i="13"/>
  <c r="V11" i="13"/>
  <c r="U11" i="13"/>
  <c r="T11" i="13"/>
  <c r="I17" i="13"/>
  <c r="J17" i="13"/>
  <c r="K17" i="13"/>
  <c r="N17" i="13"/>
  <c r="I18" i="13"/>
  <c r="J18" i="13"/>
  <c r="K18" i="13"/>
  <c r="I19" i="13"/>
  <c r="J19" i="13"/>
  <c r="K19" i="13"/>
  <c r="L19" i="13"/>
  <c r="M19" i="13"/>
  <c r="N19" i="13"/>
  <c r="O19" i="13"/>
  <c r="I20" i="13"/>
  <c r="J20" i="13"/>
  <c r="K20" i="13"/>
  <c r="L20" i="13"/>
  <c r="M20" i="13"/>
  <c r="N20" i="13"/>
  <c r="O20" i="13"/>
  <c r="I21" i="13"/>
  <c r="J21" i="13"/>
  <c r="K21" i="13"/>
  <c r="N21" i="13"/>
  <c r="O21" i="13"/>
  <c r="I22" i="13"/>
  <c r="J22" i="13"/>
  <c r="K22" i="13"/>
  <c r="O22" i="13"/>
  <c r="I23" i="13"/>
  <c r="J23" i="13"/>
  <c r="O23" i="13"/>
  <c r="I24" i="13"/>
  <c r="K24" i="13"/>
  <c r="I25" i="13"/>
  <c r="K25" i="13"/>
  <c r="M25" i="13"/>
  <c r="I26" i="13"/>
  <c r="K26" i="13"/>
  <c r="I27" i="13"/>
  <c r="K27" i="13"/>
  <c r="O27" i="13"/>
  <c r="I28" i="13"/>
  <c r="K28" i="13"/>
  <c r="O28" i="13"/>
  <c r="I29" i="13"/>
  <c r="K29" i="13"/>
  <c r="M29" i="13"/>
  <c r="I30" i="13"/>
  <c r="L30" i="13"/>
  <c r="I31" i="13"/>
  <c r="O31" i="13"/>
  <c r="I32" i="13"/>
  <c r="K32" i="13"/>
  <c r="O32" i="13"/>
  <c r="I33" i="13"/>
  <c r="K33" i="13"/>
  <c r="I34" i="13"/>
  <c r="J34" i="13"/>
  <c r="K34" i="13"/>
  <c r="L34" i="13"/>
  <c r="M34" i="13"/>
  <c r="N34" i="13"/>
  <c r="O34" i="13"/>
  <c r="I35" i="13"/>
  <c r="N35" i="13"/>
  <c r="O35" i="13"/>
  <c r="I36" i="13"/>
  <c r="J36" i="13"/>
  <c r="N36" i="13"/>
  <c r="O36" i="13"/>
  <c r="D37" i="13"/>
  <c r="E37" i="13"/>
  <c r="F37" i="13"/>
  <c r="G37" i="13"/>
  <c r="I37" i="13"/>
  <c r="K37" i="13"/>
  <c r="M37" i="13"/>
  <c r="O37" i="13"/>
  <c r="D38" i="13"/>
  <c r="E38" i="13"/>
  <c r="F38" i="13"/>
  <c r="G38" i="13"/>
  <c r="I38" i="13"/>
  <c r="J38" i="13"/>
  <c r="L38" i="13"/>
  <c r="M38" i="13"/>
  <c r="N38" i="13"/>
  <c r="O38" i="13"/>
  <c r="I44" i="13"/>
  <c r="L44" i="13"/>
  <c r="M44" i="13"/>
  <c r="N44" i="13"/>
  <c r="O44" i="13"/>
  <c r="I45" i="13"/>
  <c r="L45" i="13"/>
  <c r="M45" i="13"/>
  <c r="N45" i="13"/>
  <c r="O45" i="13"/>
  <c r="I46" i="13"/>
  <c r="L46" i="13"/>
  <c r="M46" i="13"/>
  <c r="N46" i="13"/>
  <c r="O46" i="13"/>
  <c r="F47" i="13"/>
  <c r="G47" i="13"/>
  <c r="H47" i="13"/>
  <c r="I47" i="13"/>
  <c r="J47" i="13"/>
  <c r="K47" i="13"/>
  <c r="L47" i="13"/>
  <c r="M47" i="13"/>
  <c r="N47" i="13"/>
  <c r="O47" i="13"/>
  <c r="I48" i="13"/>
  <c r="L48" i="13"/>
  <c r="M48" i="13"/>
  <c r="N48" i="13"/>
  <c r="O48" i="13"/>
  <c r="I49" i="13"/>
  <c r="K49" i="13"/>
  <c r="L49" i="13"/>
  <c r="M49" i="13"/>
  <c r="N49" i="13"/>
  <c r="O49" i="13"/>
  <c r="D50" i="13"/>
  <c r="E50" i="13"/>
  <c r="F50" i="13"/>
  <c r="I50" i="13"/>
  <c r="L50" i="13"/>
  <c r="M50" i="13"/>
  <c r="N50" i="13"/>
  <c r="O50" i="13"/>
  <c r="D51" i="13"/>
  <c r="E51" i="13"/>
  <c r="F51" i="13"/>
  <c r="G51" i="13"/>
  <c r="H51" i="13"/>
  <c r="I51" i="13"/>
  <c r="L51" i="13"/>
  <c r="M51" i="13"/>
  <c r="N51" i="13"/>
  <c r="O51" i="13"/>
  <c r="I14" i="13"/>
  <c r="L14" i="13"/>
  <c r="M14" i="13"/>
  <c r="N14" i="13"/>
  <c r="O14" i="13"/>
  <c r="N16" i="13"/>
  <c r="L16" i="13"/>
  <c r="O33" i="13"/>
  <c r="O29" i="13"/>
  <c r="O26" i="13"/>
  <c r="O25" i="13"/>
  <c r="O16" i="13"/>
  <c r="N37" i="13"/>
  <c r="N33" i="13"/>
  <c r="N32" i="13"/>
  <c r="N31" i="13"/>
  <c r="N29" i="13"/>
  <c r="N28" i="13"/>
  <c r="N27" i="13"/>
  <c r="N25" i="13"/>
  <c r="N23" i="13"/>
  <c r="N18" i="13"/>
  <c r="M35" i="13"/>
  <c r="M32" i="13"/>
  <c r="M31" i="13"/>
  <c r="M30" i="13"/>
  <c r="M28" i="13"/>
  <c r="M26" i="13"/>
  <c r="M24" i="13"/>
  <c r="M23" i="13"/>
  <c r="M22" i="13"/>
  <c r="M17" i="13"/>
  <c r="M16" i="13"/>
  <c r="L37" i="13"/>
  <c r="L35" i="13"/>
  <c r="L33" i="13"/>
  <c r="L31" i="13"/>
  <c r="L29" i="13"/>
  <c r="L28" i="13"/>
  <c r="L27" i="13"/>
  <c r="L23" i="13"/>
  <c r="L21" i="13"/>
  <c r="L18" i="13"/>
  <c r="K51" i="8"/>
  <c r="V51" i="8" s="1"/>
  <c r="D51" i="8"/>
  <c r="R51" i="8" s="1"/>
  <c r="K50" i="8"/>
  <c r="K50" i="13" s="1"/>
  <c r="D50" i="8"/>
  <c r="R50" i="8" s="1"/>
  <c r="V49" i="8"/>
  <c r="Q49" i="8"/>
  <c r="M49" i="8"/>
  <c r="K48" i="8"/>
  <c r="K48" i="13" s="1"/>
  <c r="D48" i="8"/>
  <c r="R48" i="8" s="1"/>
  <c r="Y47" i="8"/>
  <c r="Z47" i="8" s="1"/>
  <c r="K46" i="8"/>
  <c r="K46" i="13" s="1"/>
  <c r="D46" i="8"/>
  <c r="R46" i="8" s="1"/>
  <c r="X45" i="8"/>
  <c r="X43" i="8" s="1"/>
  <c r="K45" i="8"/>
  <c r="V45" i="8" s="1"/>
  <c r="D45" i="8"/>
  <c r="R45" i="8" s="1"/>
  <c r="M44" i="8"/>
  <c r="K44" i="8"/>
  <c r="K43" i="8" s="1"/>
  <c r="D44" i="8"/>
  <c r="L44" i="8" s="1"/>
  <c r="V38" i="8"/>
  <c r="Y38" i="8" s="1"/>
  <c r="Z38" i="8" s="1"/>
  <c r="V37" i="8"/>
  <c r="D37" i="8"/>
  <c r="P37" i="8" s="1"/>
  <c r="X36" i="8"/>
  <c r="V36" i="8"/>
  <c r="D36" i="8"/>
  <c r="R36" i="8" s="1"/>
  <c r="V35" i="8"/>
  <c r="D35" i="8"/>
  <c r="R35" i="8" s="1"/>
  <c r="X34" i="8"/>
  <c r="V34" i="8"/>
  <c r="D34" i="8"/>
  <c r="P34" i="8" s="1"/>
  <c r="D33" i="8"/>
  <c r="R33" i="8" s="1"/>
  <c r="X32" i="8"/>
  <c r="V32" i="8"/>
  <c r="D32" i="8"/>
  <c r="N32" i="8" s="1"/>
  <c r="X31" i="8"/>
  <c r="V31" i="8"/>
  <c r="D31" i="8"/>
  <c r="P31" i="8" s="1"/>
  <c r="X30" i="8"/>
  <c r="K30" i="13"/>
  <c r="D30" i="8"/>
  <c r="R30" i="8" s="1"/>
  <c r="X29" i="8"/>
  <c r="D29" i="8"/>
  <c r="R29" i="8" s="1"/>
  <c r="V28" i="8"/>
  <c r="X27" i="8"/>
  <c r="V27" i="8"/>
  <c r="D27" i="8"/>
  <c r="N27" i="8" s="1"/>
  <c r="V26" i="8"/>
  <c r="D26" i="8"/>
  <c r="R26" i="8" s="1"/>
  <c r="V25" i="8"/>
  <c r="D25" i="8"/>
  <c r="N25" i="8" s="1"/>
  <c r="X24" i="8"/>
  <c r="M24" i="8"/>
  <c r="V24" i="8"/>
  <c r="D24" i="8"/>
  <c r="R24" i="8" s="1"/>
  <c r="V23" i="8"/>
  <c r="D23" i="8"/>
  <c r="V22" i="8"/>
  <c r="D22" i="8"/>
  <c r="R22" i="8" s="1"/>
  <c r="X21" i="8"/>
  <c r="V21" i="8"/>
  <c r="D21" i="8"/>
  <c r="L21" i="8" s="1"/>
  <c r="X20" i="8"/>
  <c r="L20" i="8"/>
  <c r="D20" i="8"/>
  <c r="P20" i="8" s="1"/>
  <c r="V19" i="8"/>
  <c r="D19" i="8"/>
  <c r="R19" i="8" s="1"/>
  <c r="X18" i="8"/>
  <c r="V18" i="8"/>
  <c r="D18" i="8"/>
  <c r="X17" i="8"/>
  <c r="V17" i="8"/>
  <c r="D17" i="8"/>
  <c r="L17" i="8" s="1"/>
  <c r="Q16" i="8"/>
  <c r="M16" i="8"/>
  <c r="K16" i="13"/>
  <c r="D16" i="8"/>
  <c r="R16" i="8" s="1"/>
  <c r="P14" i="8"/>
  <c r="L14" i="8"/>
  <c r="K14" i="8"/>
  <c r="V14" i="8" s="1"/>
  <c r="D14" i="8"/>
  <c r="X13" i="8"/>
  <c r="W13" i="8"/>
  <c r="U13" i="8"/>
  <c r="K13" i="8"/>
  <c r="I13" i="8"/>
  <c r="H13" i="8"/>
  <c r="G13" i="8"/>
  <c r="F13" i="8"/>
  <c r="E13" i="8"/>
  <c r="V12" i="8"/>
  <c r="V11" i="8" s="1"/>
  <c r="D12" i="8"/>
  <c r="Q12" i="8" s="1"/>
  <c r="Q11" i="8" s="1"/>
  <c r="Z11" i="8"/>
  <c r="Y11" i="8"/>
  <c r="X11" i="8"/>
  <c r="W11" i="8"/>
  <c r="U11" i="8"/>
  <c r="U52" i="8" s="1"/>
  <c r="T11" i="8"/>
  <c r="K11" i="8"/>
  <c r="I11" i="8"/>
  <c r="H11" i="8"/>
  <c r="G11" i="8"/>
  <c r="F11" i="8"/>
  <c r="F52" i="8" s="1"/>
  <c r="E11" i="8"/>
  <c r="M51" i="7"/>
  <c r="K51" i="7"/>
  <c r="J51" i="13" s="1"/>
  <c r="D51" i="7"/>
  <c r="R51" i="7" s="1"/>
  <c r="M50" i="7"/>
  <c r="K50" i="7"/>
  <c r="J50" i="13" s="1"/>
  <c r="D50" i="7"/>
  <c r="R50" i="7" s="1"/>
  <c r="K49" i="7"/>
  <c r="J49" i="13" s="1"/>
  <c r="D49" i="7"/>
  <c r="R49" i="7" s="1"/>
  <c r="K48" i="7"/>
  <c r="J48" i="13" s="1"/>
  <c r="D48" i="7"/>
  <c r="R48" i="7" s="1"/>
  <c r="Y47" i="7"/>
  <c r="Z47" i="7" s="1"/>
  <c r="Q46" i="7"/>
  <c r="M46" i="7"/>
  <c r="K46" i="7"/>
  <c r="J46" i="13" s="1"/>
  <c r="D46" i="7"/>
  <c r="R46" i="7" s="1"/>
  <c r="X45" i="7"/>
  <c r="X43" i="7" s="1"/>
  <c r="V45" i="7"/>
  <c r="K45" i="7"/>
  <c r="J45" i="13" s="1"/>
  <c r="D45" i="7"/>
  <c r="R45" i="7" s="1"/>
  <c r="K44" i="7"/>
  <c r="D44" i="7"/>
  <c r="P44" i="7" s="1"/>
  <c r="T38" i="7"/>
  <c r="V38" i="7"/>
  <c r="Y38" i="7" s="1"/>
  <c r="Z38" i="7" s="1"/>
  <c r="V37" i="7"/>
  <c r="D37" i="7"/>
  <c r="R37" i="7" s="1"/>
  <c r="X36" i="7"/>
  <c r="V36" i="7"/>
  <c r="D36" i="7"/>
  <c r="L36" i="7" s="1"/>
  <c r="J35" i="13"/>
  <c r="D35" i="7"/>
  <c r="N35" i="7" s="1"/>
  <c r="X34" i="7"/>
  <c r="D34" i="7"/>
  <c r="R34" i="7" s="1"/>
  <c r="V33" i="7"/>
  <c r="D33" i="7"/>
  <c r="R33" i="7" s="1"/>
  <c r="X32" i="7"/>
  <c r="J32" i="13"/>
  <c r="D32" i="7"/>
  <c r="L32" i="7" s="1"/>
  <c r="X31" i="7"/>
  <c r="V31" i="7"/>
  <c r="D31" i="7"/>
  <c r="R31" i="7" s="1"/>
  <c r="X30" i="7"/>
  <c r="V30" i="7"/>
  <c r="D30" i="7"/>
  <c r="R30" i="7" s="1"/>
  <c r="X29" i="7"/>
  <c r="V29" i="7"/>
  <c r="J29" i="13"/>
  <c r="D29" i="7"/>
  <c r="R29" i="7" s="1"/>
  <c r="X28" i="7"/>
  <c r="V28" i="7"/>
  <c r="D28" i="7"/>
  <c r="N28" i="7" s="1"/>
  <c r="X27" i="7"/>
  <c r="J27" i="13"/>
  <c r="D27" i="7"/>
  <c r="R27" i="7" s="1"/>
  <c r="V26" i="7"/>
  <c r="D26" i="7"/>
  <c r="R26" i="7" s="1"/>
  <c r="V25" i="7"/>
  <c r="D25" i="7"/>
  <c r="R25" i="7" s="1"/>
  <c r="X24" i="7"/>
  <c r="V24" i="7"/>
  <c r="D24" i="7"/>
  <c r="L24" i="7" s="1"/>
  <c r="V23" i="7"/>
  <c r="D23" i="7"/>
  <c r="L23" i="7" s="1"/>
  <c r="V22" i="7"/>
  <c r="D22" i="7"/>
  <c r="L22" i="7" s="1"/>
  <c r="X21" i="7"/>
  <c r="V21" i="7"/>
  <c r="D21" i="7"/>
  <c r="R21" i="7" s="1"/>
  <c r="X20" i="7"/>
  <c r="V20" i="7"/>
  <c r="D20" i="7"/>
  <c r="R20" i="7" s="1"/>
  <c r="M19" i="7"/>
  <c r="V19" i="7"/>
  <c r="D19" i="7"/>
  <c r="R19" i="7" s="1"/>
  <c r="X18" i="7"/>
  <c r="V18" i="7"/>
  <c r="D18" i="7"/>
  <c r="Q18" i="7" s="1"/>
  <c r="X17" i="7"/>
  <c r="X15" i="7" s="1"/>
  <c r="V17" i="7"/>
  <c r="D17" i="7"/>
  <c r="M16" i="7"/>
  <c r="D16" i="7"/>
  <c r="R16" i="7" s="1"/>
  <c r="L14" i="7"/>
  <c r="K14" i="7"/>
  <c r="V14" i="7" s="1"/>
  <c r="D14" i="7"/>
  <c r="N14" i="7" s="1"/>
  <c r="N13" i="7" s="1"/>
  <c r="X13" i="7"/>
  <c r="U13" i="7"/>
  <c r="K13" i="7"/>
  <c r="I13" i="7"/>
  <c r="H13" i="7"/>
  <c r="G13" i="7"/>
  <c r="F13" i="7"/>
  <c r="E13" i="7"/>
  <c r="D13" i="7"/>
  <c r="V12" i="7"/>
  <c r="V11" i="7" s="1"/>
  <c r="D12" i="7"/>
  <c r="P12" i="7" s="1"/>
  <c r="Z11" i="7"/>
  <c r="Y11" i="7"/>
  <c r="X11" i="7"/>
  <c r="W11" i="7"/>
  <c r="W52" i="7" s="1"/>
  <c r="U11" i="7"/>
  <c r="U52" i="7" s="1"/>
  <c r="T11" i="7"/>
  <c r="K11" i="7"/>
  <c r="I11" i="7"/>
  <c r="H11" i="7"/>
  <c r="H52" i="7" s="1"/>
  <c r="G11" i="7"/>
  <c r="F11" i="7"/>
  <c r="E11" i="7"/>
  <c r="D11" i="7"/>
  <c r="V50" i="6"/>
  <c r="V49" i="6"/>
  <c r="V48" i="6"/>
  <c r="Y47" i="6"/>
  <c r="Z47" i="6" s="1"/>
  <c r="V46" i="6"/>
  <c r="X45" i="6"/>
  <c r="X43" i="6" s="1"/>
  <c r="V45" i="6"/>
  <c r="V44" i="6"/>
  <c r="V38" i="6"/>
  <c r="Y38" i="6" s="1"/>
  <c r="Z38" i="6" s="1"/>
  <c r="V37" i="6"/>
  <c r="X36" i="6"/>
  <c r="V36" i="6"/>
  <c r="V35" i="6"/>
  <c r="X34" i="6"/>
  <c r="V34" i="6"/>
  <c r="V33" i="6"/>
  <c r="X32" i="6"/>
  <c r="V32" i="6"/>
  <c r="X31" i="6"/>
  <c r="V31" i="6"/>
  <c r="X30" i="6"/>
  <c r="V30" i="6"/>
  <c r="X29" i="6"/>
  <c r="V29" i="6"/>
  <c r="X28" i="6"/>
  <c r="V28" i="6"/>
  <c r="X27" i="6"/>
  <c r="V27" i="6"/>
  <c r="V26" i="6"/>
  <c r="V25" i="6"/>
  <c r="X24" i="6"/>
  <c r="V24" i="6"/>
  <c r="V23" i="6"/>
  <c r="V22" i="6"/>
  <c r="X21" i="6"/>
  <c r="V21" i="6"/>
  <c r="X20" i="6"/>
  <c r="V20" i="6"/>
  <c r="V19" i="6"/>
  <c r="X18" i="6"/>
  <c r="V18" i="6"/>
  <c r="X17" i="6"/>
  <c r="V17" i="6"/>
  <c r="V16" i="6"/>
  <c r="V14" i="6"/>
  <c r="X13" i="6"/>
  <c r="W13" i="6"/>
  <c r="V12" i="6"/>
  <c r="Z11" i="6"/>
  <c r="X11" i="6"/>
  <c r="W11" i="6"/>
  <c r="W52" i="6" s="1"/>
  <c r="V11" i="6"/>
  <c r="K38" i="5"/>
  <c r="V38" i="5" s="1"/>
  <c r="Y38" i="5" s="1"/>
  <c r="Z38" i="5" s="1"/>
  <c r="T38" i="5"/>
  <c r="R22" i="7" l="1"/>
  <c r="M25" i="7"/>
  <c r="L30" i="7"/>
  <c r="L44" i="7"/>
  <c r="N45" i="7"/>
  <c r="Q48" i="7"/>
  <c r="M49" i="7"/>
  <c r="E52" i="8"/>
  <c r="I52" i="8"/>
  <c r="Q19" i="8"/>
  <c r="Q20" i="8"/>
  <c r="S20" i="8" s="1"/>
  <c r="Q31" i="8"/>
  <c r="M37" i="8"/>
  <c r="Q44" i="8"/>
  <c r="N45" i="8"/>
  <c r="L46" i="8"/>
  <c r="H38" i="13"/>
  <c r="V51" i="7"/>
  <c r="P14" i="7"/>
  <c r="Q16" i="7"/>
  <c r="N30" i="7"/>
  <c r="P49" i="7"/>
  <c r="X15" i="8"/>
  <c r="R20" i="8"/>
  <c r="N21" i="8"/>
  <c r="L24" i="8"/>
  <c r="Q37" i="8"/>
  <c r="V44" i="8"/>
  <c r="P46" i="8"/>
  <c r="V50" i="8"/>
  <c r="X15" i="6"/>
  <c r="M12" i="7"/>
  <c r="M11" i="7" s="1"/>
  <c r="R14" i="7"/>
  <c r="R13" i="7" s="1"/>
  <c r="R44" i="7"/>
  <c r="R43" i="7" s="1"/>
  <c r="D43" i="7"/>
  <c r="Q49" i="7"/>
  <c r="P12" i="8"/>
  <c r="D11" i="8"/>
  <c r="K14" i="13"/>
  <c r="K51" i="13"/>
  <c r="K45" i="13"/>
  <c r="K44" i="13"/>
  <c r="V50" i="7"/>
  <c r="Q12" i="7"/>
  <c r="Q11" i="7" s="1"/>
  <c r="Q19" i="7"/>
  <c r="Q29" i="7"/>
  <c r="V44" i="7"/>
  <c r="K43" i="7"/>
  <c r="M48" i="7"/>
  <c r="L49" i="7"/>
  <c r="V49" i="7"/>
  <c r="Q50" i="7"/>
  <c r="Q51" i="7"/>
  <c r="M12" i="8"/>
  <c r="M11" i="8" s="1"/>
  <c r="R14" i="8"/>
  <c r="R13" i="8" s="1"/>
  <c r="D13" i="8"/>
  <c r="M19" i="8"/>
  <c r="M20" i="8"/>
  <c r="M31" i="8"/>
  <c r="R44" i="8"/>
  <c r="R43" i="8" s="1"/>
  <c r="D43" i="8"/>
  <c r="P44" i="8"/>
  <c r="J14" i="13"/>
  <c r="J44" i="13"/>
  <c r="J43" i="13" s="1"/>
  <c r="Q30" i="8"/>
  <c r="Q36" i="8"/>
  <c r="Q34" i="8"/>
  <c r="R17" i="8"/>
  <c r="D15" i="8"/>
  <c r="D52" i="8" s="1"/>
  <c r="L29" i="8"/>
  <c r="M17" i="8"/>
  <c r="P29" i="8"/>
  <c r="L30" i="8"/>
  <c r="N35" i="8"/>
  <c r="L36" i="8"/>
  <c r="P26" i="8"/>
  <c r="M30" i="8"/>
  <c r="P33" i="8"/>
  <c r="M36" i="8"/>
  <c r="D15" i="7"/>
  <c r="D52" i="7" s="1"/>
  <c r="M17" i="7"/>
  <c r="R23" i="7"/>
  <c r="M37" i="7"/>
  <c r="M31" i="7"/>
  <c r="N32" i="7"/>
  <c r="L43" i="13"/>
  <c r="T38" i="8"/>
  <c r="K38" i="13"/>
  <c r="M43" i="13"/>
  <c r="O30" i="13"/>
  <c r="O24" i="13"/>
  <c r="O18" i="13"/>
  <c r="O17" i="13"/>
  <c r="N30" i="13"/>
  <c r="O43" i="13"/>
  <c r="N26" i="13"/>
  <c r="N43" i="13"/>
  <c r="N24" i="13"/>
  <c r="N22" i="13"/>
  <c r="M36" i="13"/>
  <c r="M33" i="13"/>
  <c r="M21" i="13"/>
  <c r="M18" i="13"/>
  <c r="M27" i="13"/>
  <c r="L36" i="13"/>
  <c r="L32" i="13"/>
  <c r="L25" i="13"/>
  <c r="L17" i="13"/>
  <c r="L26" i="13"/>
  <c r="L24" i="13"/>
  <c r="L22" i="13"/>
  <c r="V43" i="6"/>
  <c r="I43" i="13"/>
  <c r="Y43" i="13"/>
  <c r="V15" i="6"/>
  <c r="R17" i="7"/>
  <c r="P17" i="7"/>
  <c r="P25" i="7"/>
  <c r="Q27" i="7"/>
  <c r="P31" i="7"/>
  <c r="R32" i="7"/>
  <c r="Q34" i="7"/>
  <c r="P37" i="7"/>
  <c r="J37" i="13"/>
  <c r="J30" i="13"/>
  <c r="J28" i="13"/>
  <c r="J26" i="13"/>
  <c r="J25" i="13"/>
  <c r="J24" i="13"/>
  <c r="Y15" i="13"/>
  <c r="P27" i="7"/>
  <c r="S27" i="7" s="1"/>
  <c r="P34" i="7"/>
  <c r="K15" i="7"/>
  <c r="Q17" i="7"/>
  <c r="Q25" i="7"/>
  <c r="M26" i="7"/>
  <c r="L27" i="7"/>
  <c r="L28" i="7"/>
  <c r="Q31" i="7"/>
  <c r="V32" i="7"/>
  <c r="M33" i="7"/>
  <c r="L34" i="7"/>
  <c r="L35" i="7"/>
  <c r="N36" i="7"/>
  <c r="Q37" i="7"/>
  <c r="J31" i="13"/>
  <c r="E52" i="7"/>
  <c r="I52" i="7"/>
  <c r="F52" i="7"/>
  <c r="G52" i="7"/>
  <c r="L17" i="7"/>
  <c r="N22" i="7"/>
  <c r="N23" i="7"/>
  <c r="L25" i="7"/>
  <c r="Q26" i="7"/>
  <c r="M27" i="7"/>
  <c r="M29" i="7"/>
  <c r="L31" i="7"/>
  <c r="Q33" i="7"/>
  <c r="M34" i="7"/>
  <c r="V35" i="7"/>
  <c r="R36" i="7"/>
  <c r="L37" i="7"/>
  <c r="J16" i="13"/>
  <c r="J33" i="13"/>
  <c r="V38" i="13"/>
  <c r="W52" i="8"/>
  <c r="T15" i="13"/>
  <c r="G52" i="8"/>
  <c r="K43" i="13"/>
  <c r="P22" i="8"/>
  <c r="K35" i="13"/>
  <c r="K31" i="13"/>
  <c r="W38" i="13"/>
  <c r="P21" i="8"/>
  <c r="Q22" i="8"/>
  <c r="V30" i="8"/>
  <c r="P17" i="8"/>
  <c r="S17" i="8" s="1"/>
  <c r="R21" i="8"/>
  <c r="L22" i="8"/>
  <c r="P24" i="8"/>
  <c r="K36" i="13"/>
  <c r="K23" i="13"/>
  <c r="Q17" i="8"/>
  <c r="M22" i="8"/>
  <c r="Q24" i="8"/>
  <c r="M25" i="8"/>
  <c r="L26" i="8"/>
  <c r="M27" i="8"/>
  <c r="P30" i="8"/>
  <c r="R32" i="8"/>
  <c r="L33" i="8"/>
  <c r="M34" i="8"/>
  <c r="P36" i="8"/>
  <c r="S36" i="8" s="1"/>
  <c r="V13" i="6"/>
  <c r="S38" i="13"/>
  <c r="X38" i="13" s="1"/>
  <c r="S51" i="13"/>
  <c r="T43" i="13"/>
  <c r="P13" i="8"/>
  <c r="Q18" i="8"/>
  <c r="M18" i="8"/>
  <c r="P18" i="8"/>
  <c r="L18" i="8"/>
  <c r="R18" i="8"/>
  <c r="N18" i="8"/>
  <c r="H52" i="8"/>
  <c r="P11" i="8"/>
  <c r="V16" i="8"/>
  <c r="V13" i="8"/>
  <c r="L13" i="8"/>
  <c r="P23" i="8"/>
  <c r="L23" i="8"/>
  <c r="V29" i="8"/>
  <c r="V46" i="8"/>
  <c r="V48" i="8"/>
  <c r="S49" i="8"/>
  <c r="N12" i="8"/>
  <c r="N11" i="8" s="1"/>
  <c r="R12" i="8"/>
  <c r="R11" i="8" s="1"/>
  <c r="M14" i="8"/>
  <c r="M13" i="8" s="1"/>
  <c r="Q14" i="8"/>
  <c r="Q13" i="8" s="1"/>
  <c r="L16" i="8"/>
  <c r="P16" i="8"/>
  <c r="N17" i="8"/>
  <c r="O17" i="8" s="1"/>
  <c r="L19" i="8"/>
  <c r="P19" i="8"/>
  <c r="S19" i="8" s="1"/>
  <c r="N20" i="8"/>
  <c r="O20" i="8" s="1"/>
  <c r="T20" i="8" s="1"/>
  <c r="Q21" i="8"/>
  <c r="M21" i="8"/>
  <c r="O21" i="8" s="1"/>
  <c r="Q23" i="8"/>
  <c r="V33" i="8"/>
  <c r="Q35" i="8"/>
  <c r="M35" i="8"/>
  <c r="P35" i="8"/>
  <c r="L35" i="8"/>
  <c r="V20" i="8"/>
  <c r="M23" i="8"/>
  <c r="R23" i="8"/>
  <c r="P25" i="8"/>
  <c r="L25" i="8"/>
  <c r="Q25" i="8"/>
  <c r="P27" i="8"/>
  <c r="L27" i="8"/>
  <c r="Q27" i="8"/>
  <c r="Q28" i="8"/>
  <c r="M28" i="8"/>
  <c r="S44" i="8"/>
  <c r="Q45" i="8"/>
  <c r="M45" i="8"/>
  <c r="M43" i="8" s="1"/>
  <c r="P45" i="8"/>
  <c r="L45" i="8"/>
  <c r="L43" i="8" s="1"/>
  <c r="N14" i="8"/>
  <c r="N13" i="8" s="1"/>
  <c r="X52" i="8"/>
  <c r="L12" i="8"/>
  <c r="N16" i="8"/>
  <c r="N19" i="8"/>
  <c r="N23" i="8"/>
  <c r="R25" i="8"/>
  <c r="R27" i="8"/>
  <c r="S30" i="8"/>
  <c r="Q32" i="8"/>
  <c r="M32" i="8"/>
  <c r="P32" i="8"/>
  <c r="L32" i="8"/>
  <c r="O32" i="8" s="1"/>
  <c r="N31" i="8"/>
  <c r="R31" i="8"/>
  <c r="S31" i="8" s="1"/>
  <c r="N34" i="8"/>
  <c r="R34" i="8"/>
  <c r="N37" i="8"/>
  <c r="R37" i="8"/>
  <c r="S37" i="8" s="1"/>
  <c r="L48" i="8"/>
  <c r="P48" i="8"/>
  <c r="O49" i="8"/>
  <c r="L50" i="8"/>
  <c r="P50" i="8"/>
  <c r="S50" i="8" s="1"/>
  <c r="L51" i="8"/>
  <c r="P51" i="8"/>
  <c r="N22" i="8"/>
  <c r="N24" i="8"/>
  <c r="O24" i="8" s="1"/>
  <c r="M26" i="8"/>
  <c r="Q26" i="8"/>
  <c r="S26" i="8" s="1"/>
  <c r="M29" i="8"/>
  <c r="Q29" i="8"/>
  <c r="S29" i="8" s="1"/>
  <c r="N30" i="8"/>
  <c r="O30" i="8" s="1"/>
  <c r="M33" i="8"/>
  <c r="Q33" i="8"/>
  <c r="N36" i="8"/>
  <c r="O36" i="8" s="1"/>
  <c r="N44" i="8"/>
  <c r="M46" i="8"/>
  <c r="Q46" i="8"/>
  <c r="S46" i="8" s="1"/>
  <c r="M48" i="8"/>
  <c r="Q48" i="8"/>
  <c r="M50" i="8"/>
  <c r="Q50" i="8"/>
  <c r="M51" i="8"/>
  <c r="Q51" i="8"/>
  <c r="N26" i="8"/>
  <c r="N29" i="8"/>
  <c r="L31" i="8"/>
  <c r="N33" i="8"/>
  <c r="L34" i="8"/>
  <c r="L37" i="8"/>
  <c r="N46" i="8"/>
  <c r="N48" i="8"/>
  <c r="N50" i="8"/>
  <c r="N51" i="8"/>
  <c r="P11" i="7"/>
  <c r="V13" i="7"/>
  <c r="R18" i="7"/>
  <c r="N20" i="7"/>
  <c r="N12" i="7"/>
  <c r="N11" i="7" s="1"/>
  <c r="R12" i="7"/>
  <c r="R11" i="7" s="1"/>
  <c r="M14" i="7"/>
  <c r="M13" i="7" s="1"/>
  <c r="Q14" i="7"/>
  <c r="Q13" i="7" s="1"/>
  <c r="L16" i="7"/>
  <c r="P16" i="7"/>
  <c r="N17" i="7"/>
  <c r="L19" i="7"/>
  <c r="P19" i="7"/>
  <c r="S19" i="7" s="1"/>
  <c r="P20" i="7"/>
  <c r="S20" i="7" s="1"/>
  <c r="Q21" i="7"/>
  <c r="R24" i="7"/>
  <c r="Q30" i="7"/>
  <c r="M30" i="7"/>
  <c r="O30" i="7" s="1"/>
  <c r="P30" i="7"/>
  <c r="Q32" i="7"/>
  <c r="M32" i="7"/>
  <c r="P32" i="7"/>
  <c r="V46" i="7"/>
  <c r="K52" i="7"/>
  <c r="S49" i="7"/>
  <c r="N18" i="7"/>
  <c r="P24" i="7"/>
  <c r="V16" i="7"/>
  <c r="L18" i="7"/>
  <c r="P18" i="7"/>
  <c r="L20" i="7"/>
  <c r="Q20" i="7"/>
  <c r="M21" i="7"/>
  <c r="Q28" i="7"/>
  <c r="M28" i="7"/>
  <c r="P28" i="7"/>
  <c r="Q35" i="7"/>
  <c r="M35" i="7"/>
  <c r="P35" i="7"/>
  <c r="S37" i="7"/>
  <c r="Q45" i="7"/>
  <c r="M45" i="7"/>
  <c r="P45" i="7"/>
  <c r="S45" i="7" s="1"/>
  <c r="L45" i="7"/>
  <c r="V48" i="7"/>
  <c r="P21" i="7"/>
  <c r="S21" i="7" s="1"/>
  <c r="L21" i="7"/>
  <c r="Q24" i="7"/>
  <c r="M24" i="7"/>
  <c r="O35" i="7"/>
  <c r="X52" i="7"/>
  <c r="L12" i="7"/>
  <c r="L13" i="7"/>
  <c r="P13" i="7"/>
  <c r="N16" i="7"/>
  <c r="M18" i="7"/>
  <c r="N19" i="7"/>
  <c r="M20" i="7"/>
  <c r="N21" i="7"/>
  <c r="Q22" i="7"/>
  <c r="M22" i="7"/>
  <c r="P22" i="7"/>
  <c r="Q23" i="7"/>
  <c r="M23" i="7"/>
  <c r="O23" i="7" s="1"/>
  <c r="P23" i="7"/>
  <c r="N24" i="7"/>
  <c r="O24" i="7" s="1"/>
  <c r="V27" i="7"/>
  <c r="R28" i="7"/>
  <c r="O32" i="7"/>
  <c r="T32" i="7" s="1"/>
  <c r="V34" i="7"/>
  <c r="R35" i="7"/>
  <c r="Q36" i="7"/>
  <c r="M36" i="7"/>
  <c r="O36" i="7" s="1"/>
  <c r="P36" i="7"/>
  <c r="S36" i="7" s="1"/>
  <c r="N25" i="7"/>
  <c r="O25" i="7" s="1"/>
  <c r="L26" i="7"/>
  <c r="P26" i="7"/>
  <c r="N27" i="7"/>
  <c r="L29" i="7"/>
  <c r="P29" i="7"/>
  <c r="S29" i="7" s="1"/>
  <c r="N31" i="7"/>
  <c r="O31" i="7" s="1"/>
  <c r="Y31" i="7" s="1"/>
  <c r="Z31" i="7" s="1"/>
  <c r="L33" i="7"/>
  <c r="P33" i="7"/>
  <c r="N34" i="7"/>
  <c r="N37" i="7"/>
  <c r="M44" i="7"/>
  <c r="Q44" i="7"/>
  <c r="L46" i="7"/>
  <c r="P46" i="7"/>
  <c r="S46" i="7" s="1"/>
  <c r="L48" i="7"/>
  <c r="P48" i="7"/>
  <c r="S48" i="7" s="1"/>
  <c r="N49" i="7"/>
  <c r="O49" i="7" s="1"/>
  <c r="Y49" i="7" s="1"/>
  <c r="Z49" i="7" s="1"/>
  <c r="L50" i="7"/>
  <c r="O50" i="7" s="1"/>
  <c r="T50" i="7" s="1"/>
  <c r="P50" i="7"/>
  <c r="S50" i="7" s="1"/>
  <c r="L51" i="7"/>
  <c r="P51" i="7"/>
  <c r="S51" i="7" s="1"/>
  <c r="N44" i="7"/>
  <c r="N26" i="7"/>
  <c r="N29" i="7"/>
  <c r="N33" i="7"/>
  <c r="N46" i="7"/>
  <c r="N48" i="7"/>
  <c r="N50" i="7"/>
  <c r="N51" i="7"/>
  <c r="X52" i="6"/>
  <c r="T38" i="6"/>
  <c r="U43" i="5"/>
  <c r="W43" i="5"/>
  <c r="W11" i="5"/>
  <c r="X11" i="5"/>
  <c r="Y11" i="5"/>
  <c r="Z11" i="5"/>
  <c r="W13" i="5"/>
  <c r="X13" i="5"/>
  <c r="V49" i="5"/>
  <c r="Y47" i="5"/>
  <c r="Z47" i="5" s="1"/>
  <c r="X45" i="5"/>
  <c r="X43" i="5" s="1"/>
  <c r="X36" i="5"/>
  <c r="X34" i="5"/>
  <c r="X32" i="5"/>
  <c r="X31" i="5"/>
  <c r="X30" i="5"/>
  <c r="X29" i="5"/>
  <c r="X28" i="5"/>
  <c r="X27" i="5"/>
  <c r="X24" i="5"/>
  <c r="X21" i="5"/>
  <c r="X20" i="5"/>
  <c r="X18" i="5"/>
  <c r="X17" i="5"/>
  <c r="V17" i="5"/>
  <c r="V12" i="5"/>
  <c r="V11" i="5" s="1"/>
  <c r="K14" i="4"/>
  <c r="G14" i="13" s="1"/>
  <c r="E43" i="5"/>
  <c r="F43" i="5"/>
  <c r="F11" i="5"/>
  <c r="K16" i="5"/>
  <c r="V16" i="5" s="1"/>
  <c r="G43" i="5"/>
  <c r="H43" i="5"/>
  <c r="I43" i="5"/>
  <c r="J43" i="5"/>
  <c r="K45" i="5"/>
  <c r="H45" i="13" s="1"/>
  <c r="K46" i="5"/>
  <c r="H46" i="13" s="1"/>
  <c r="K48" i="5"/>
  <c r="H48" i="13" s="1"/>
  <c r="K49" i="5"/>
  <c r="H49" i="13" s="1"/>
  <c r="K50" i="5"/>
  <c r="H50" i="13" s="1"/>
  <c r="K44" i="5"/>
  <c r="H44" i="13" s="1"/>
  <c r="H43" i="13" s="1"/>
  <c r="K17" i="5"/>
  <c r="K18" i="5"/>
  <c r="H18" i="13" s="1"/>
  <c r="K19" i="5"/>
  <c r="K20" i="5"/>
  <c r="H20" i="13" s="1"/>
  <c r="K21" i="5"/>
  <c r="K22" i="5"/>
  <c r="H22" i="13" s="1"/>
  <c r="K23" i="5"/>
  <c r="K24" i="5"/>
  <c r="K25" i="5"/>
  <c r="H25" i="13" s="1"/>
  <c r="K26" i="5"/>
  <c r="K27" i="5"/>
  <c r="K28" i="5"/>
  <c r="K29" i="5"/>
  <c r="H29" i="13" s="1"/>
  <c r="K30" i="5"/>
  <c r="K31" i="5"/>
  <c r="K32" i="5"/>
  <c r="K33" i="5"/>
  <c r="H33" i="13" s="1"/>
  <c r="K34" i="5"/>
  <c r="K35" i="5"/>
  <c r="K36" i="5"/>
  <c r="H36" i="13" s="1"/>
  <c r="K37" i="5"/>
  <c r="K14" i="5"/>
  <c r="H14" i="13" s="1"/>
  <c r="V45" i="5" l="1"/>
  <c r="V48" i="5"/>
  <c r="M43" i="7"/>
  <c r="O20" i="7"/>
  <c r="T20" i="7" s="1"/>
  <c r="V43" i="7"/>
  <c r="O33" i="8"/>
  <c r="S27" i="8"/>
  <c r="S35" i="8"/>
  <c r="L43" i="7"/>
  <c r="N43" i="7"/>
  <c r="O44" i="8"/>
  <c r="N43" i="8"/>
  <c r="O19" i="8"/>
  <c r="T19" i="8" s="1"/>
  <c r="V14" i="5"/>
  <c r="X15" i="5"/>
  <c r="V46" i="5"/>
  <c r="V50" i="5"/>
  <c r="S31" i="7"/>
  <c r="P43" i="8"/>
  <c r="Q43" i="8"/>
  <c r="V14" i="4"/>
  <c r="V44" i="5"/>
  <c r="O51" i="7"/>
  <c r="T51" i="7" s="1"/>
  <c r="Q43" i="7"/>
  <c r="O50" i="8"/>
  <c r="T50" i="8" s="1"/>
  <c r="V43" i="8"/>
  <c r="M15" i="8"/>
  <c r="S25" i="7"/>
  <c r="Y50" i="7"/>
  <c r="Z50" i="7" s="1"/>
  <c r="P43" i="7"/>
  <c r="L15" i="8"/>
  <c r="S34" i="8"/>
  <c r="S18" i="8"/>
  <c r="S22" i="8"/>
  <c r="N15" i="8"/>
  <c r="O25" i="8"/>
  <c r="Y25" i="8" s="1"/>
  <c r="Z25" i="8" s="1"/>
  <c r="P15" i="8"/>
  <c r="S33" i="8"/>
  <c r="Q15" i="8"/>
  <c r="S24" i="8"/>
  <c r="R15" i="8"/>
  <c r="O34" i="7"/>
  <c r="T34" i="7" s="1"/>
  <c r="O22" i="7"/>
  <c r="M15" i="7"/>
  <c r="S34" i="7"/>
  <c r="O27" i="7"/>
  <c r="T27" i="7" s="1"/>
  <c r="O28" i="7"/>
  <c r="T28" i="7" s="1"/>
  <c r="V52" i="6"/>
  <c r="V20" i="5"/>
  <c r="V18" i="5"/>
  <c r="V29" i="5"/>
  <c r="V15" i="8"/>
  <c r="K15" i="13"/>
  <c r="O15" i="13"/>
  <c r="M15" i="13"/>
  <c r="N15" i="13"/>
  <c r="L15" i="13"/>
  <c r="Y52" i="13"/>
  <c r="V35" i="5"/>
  <c r="H35" i="13"/>
  <c r="V34" i="5"/>
  <c r="H34" i="13"/>
  <c r="V30" i="5"/>
  <c r="H30" i="13"/>
  <c r="V26" i="5"/>
  <c r="H26" i="13"/>
  <c r="V25" i="5"/>
  <c r="V33" i="5"/>
  <c r="V27" i="5"/>
  <c r="H27" i="13"/>
  <c r="V19" i="5"/>
  <c r="H19" i="13"/>
  <c r="V31" i="5"/>
  <c r="H31" i="13"/>
  <c r="V23" i="5"/>
  <c r="H23" i="13"/>
  <c r="H37" i="13"/>
  <c r="V37" i="5"/>
  <c r="V21" i="5"/>
  <c r="H21" i="13"/>
  <c r="K15" i="5"/>
  <c r="H17" i="13"/>
  <c r="V32" i="5"/>
  <c r="H32" i="13"/>
  <c r="V28" i="5"/>
  <c r="H28" i="13"/>
  <c r="V24" i="5"/>
  <c r="H24" i="13"/>
  <c r="V22" i="5"/>
  <c r="V36" i="5"/>
  <c r="T30" i="7"/>
  <c r="Y30" i="7"/>
  <c r="Z30" i="7" s="1"/>
  <c r="T24" i="7"/>
  <c r="Y24" i="7"/>
  <c r="Z24" i="7" s="1"/>
  <c r="L15" i="7"/>
  <c r="S33" i="7"/>
  <c r="S18" i="7"/>
  <c r="S24" i="7"/>
  <c r="P15" i="7"/>
  <c r="O33" i="7"/>
  <c r="T33" i="7" s="1"/>
  <c r="O17" i="7"/>
  <c r="J15" i="13"/>
  <c r="S17" i="7"/>
  <c r="Q15" i="7"/>
  <c r="Q52" i="7" s="1"/>
  <c r="O37" i="7"/>
  <c r="Y37" i="7" s="1"/>
  <c r="Z37" i="7" s="1"/>
  <c r="S26" i="7"/>
  <c r="Y34" i="7"/>
  <c r="Z34" i="7" s="1"/>
  <c r="N15" i="7"/>
  <c r="N52" i="7" s="1"/>
  <c r="V15" i="7"/>
  <c r="V52" i="7" s="1"/>
  <c r="R15" i="7"/>
  <c r="T52" i="13"/>
  <c r="S28" i="8"/>
  <c r="O26" i="8"/>
  <c r="K52" i="8"/>
  <c r="S32" i="8"/>
  <c r="O31" i="8"/>
  <c r="Y31" i="8" s="1"/>
  <c r="T25" i="8"/>
  <c r="S21" i="8"/>
  <c r="T33" i="8"/>
  <c r="T32" i="8"/>
  <c r="O37" i="8"/>
  <c r="O29" i="8"/>
  <c r="O22" i="8"/>
  <c r="O27" i="8"/>
  <c r="Y27" i="8" s="1"/>
  <c r="T44" i="8"/>
  <c r="Y44" i="8"/>
  <c r="T30" i="8"/>
  <c r="Y30" i="8"/>
  <c r="T26" i="8"/>
  <c r="Y26" i="8"/>
  <c r="Y21" i="8"/>
  <c r="T21" i="8"/>
  <c r="T36" i="8"/>
  <c r="Y36" i="8"/>
  <c r="Z36" i="8" s="1"/>
  <c r="Y24" i="8"/>
  <c r="T24" i="8"/>
  <c r="T17" i="8"/>
  <c r="Y17" i="8"/>
  <c r="T22" i="8"/>
  <c r="O48" i="8"/>
  <c r="T48" i="8" s="1"/>
  <c r="Y32" i="8"/>
  <c r="Y19" i="8"/>
  <c r="O34" i="8"/>
  <c r="O46" i="8"/>
  <c r="T46" i="8" s="1"/>
  <c r="S51" i="8"/>
  <c r="O45" i="8"/>
  <c r="S23" i="8"/>
  <c r="L11" i="8"/>
  <c r="O12" i="8"/>
  <c r="O11" i="8" s="1"/>
  <c r="O23" i="8"/>
  <c r="O51" i="8"/>
  <c r="S48" i="8"/>
  <c r="Y37" i="8"/>
  <c r="S45" i="8"/>
  <c r="S43" i="8" s="1"/>
  <c r="O28" i="8"/>
  <c r="O35" i="8"/>
  <c r="S16" i="8"/>
  <c r="P52" i="8"/>
  <c r="R52" i="8"/>
  <c r="Y48" i="8"/>
  <c r="Y29" i="8"/>
  <c r="O14" i="8"/>
  <c r="S12" i="8"/>
  <c r="S11" i="8" s="1"/>
  <c r="O18" i="8"/>
  <c r="S25" i="8"/>
  <c r="Y20" i="8"/>
  <c r="Y33" i="8"/>
  <c r="O16" i="8"/>
  <c r="S14" i="8"/>
  <c r="S13" i="8" s="1"/>
  <c r="Y25" i="7"/>
  <c r="Z25" i="7" s="1"/>
  <c r="T25" i="7"/>
  <c r="T22" i="7"/>
  <c r="Y22" i="7"/>
  <c r="Z22" i="7" s="1"/>
  <c r="Y23" i="7"/>
  <c r="Z23" i="7" s="1"/>
  <c r="T23" i="7"/>
  <c r="T17" i="7"/>
  <c r="Y17" i="7"/>
  <c r="Z17" i="7" s="1"/>
  <c r="M52" i="7"/>
  <c r="T36" i="7"/>
  <c r="Y36" i="7"/>
  <c r="Z36" i="7" s="1"/>
  <c r="Y27" i="7"/>
  <c r="Z27" i="7" s="1"/>
  <c r="O14" i="7"/>
  <c r="O46" i="7"/>
  <c r="T46" i="7" s="1"/>
  <c r="O26" i="7"/>
  <c r="O44" i="7"/>
  <c r="T31" i="7"/>
  <c r="S22" i="7"/>
  <c r="S35" i="7"/>
  <c r="S28" i="7"/>
  <c r="O18" i="7"/>
  <c r="Y32" i="7"/>
  <c r="Z32" i="7" s="1"/>
  <c r="T37" i="7"/>
  <c r="S30" i="7"/>
  <c r="Y28" i="7"/>
  <c r="Z28" i="7" s="1"/>
  <c r="S16" i="7"/>
  <c r="R52" i="7"/>
  <c r="S12" i="7"/>
  <c r="S11" i="7" s="1"/>
  <c r="T49" i="7"/>
  <c r="O29" i="7"/>
  <c r="S23" i="7"/>
  <c r="T35" i="7"/>
  <c r="Y35" i="7"/>
  <c r="Z35" i="7" s="1"/>
  <c r="O45" i="7"/>
  <c r="S32" i="7"/>
  <c r="Y20" i="7"/>
  <c r="Z20" i="7" s="1"/>
  <c r="O19" i="7"/>
  <c r="O16" i="7"/>
  <c r="P52" i="7"/>
  <c r="O48" i="7"/>
  <c r="T48" i="7" s="1"/>
  <c r="L11" i="7"/>
  <c r="O12" i="7"/>
  <c r="O11" i="7" s="1"/>
  <c r="O21" i="7"/>
  <c r="Y46" i="7"/>
  <c r="Z46" i="7" s="1"/>
  <c r="S44" i="7"/>
  <c r="S43" i="7" s="1"/>
  <c r="S14" i="7"/>
  <c r="S13" i="7" s="1"/>
  <c r="V43" i="5"/>
  <c r="X52" i="5"/>
  <c r="W52" i="5"/>
  <c r="J52" i="5"/>
  <c r="K43" i="5"/>
  <c r="O43" i="7" l="1"/>
  <c r="Y51" i="7"/>
  <c r="Z51" i="7" s="1"/>
  <c r="T51" i="8"/>
  <c r="Y51" i="8"/>
  <c r="Z51" i="8" s="1"/>
  <c r="Y50" i="8"/>
  <c r="Z50" i="8" s="1"/>
  <c r="V13" i="5"/>
  <c r="O43" i="8"/>
  <c r="S15" i="8"/>
  <c r="Y16" i="8"/>
  <c r="O15" i="8"/>
  <c r="Y33" i="7"/>
  <c r="Z33" i="7" s="1"/>
  <c r="V15" i="5"/>
  <c r="V52" i="5" s="1"/>
  <c r="S37" i="13"/>
  <c r="Y16" i="7"/>
  <c r="Z16" i="7" s="1"/>
  <c r="O15" i="7"/>
  <c r="S15" i="7"/>
  <c r="N52" i="8"/>
  <c r="Q52" i="8"/>
  <c r="Z31" i="8"/>
  <c r="Z17" i="8"/>
  <c r="M52" i="8"/>
  <c r="T29" i="8"/>
  <c r="T31" i="8"/>
  <c r="Z26" i="8"/>
  <c r="Z33" i="8"/>
  <c r="Z29" i="8"/>
  <c r="Z19" i="8"/>
  <c r="Y22" i="8"/>
  <c r="Z30" i="8"/>
  <c r="T37" i="8"/>
  <c r="Z27" i="8"/>
  <c r="Z20" i="8"/>
  <c r="Z48" i="8"/>
  <c r="Z37" i="8"/>
  <c r="V52" i="8"/>
  <c r="Z32" i="8"/>
  <c r="Z24" i="8"/>
  <c r="Z21" i="8"/>
  <c r="T27" i="8"/>
  <c r="Y45" i="8"/>
  <c r="T45" i="8"/>
  <c r="T43" i="8" s="1"/>
  <c r="T18" i="8"/>
  <c r="Y18" i="8"/>
  <c r="S52" i="8"/>
  <c r="T16" i="8"/>
  <c r="O13" i="8"/>
  <c r="T14" i="8"/>
  <c r="T13" i="8" s="1"/>
  <c r="Y14" i="8"/>
  <c r="L52" i="8"/>
  <c r="Z44" i="8"/>
  <c r="Y23" i="8"/>
  <c r="T23" i="8"/>
  <c r="Y46" i="8"/>
  <c r="Y35" i="8"/>
  <c r="T35" i="8"/>
  <c r="T34" i="8"/>
  <c r="Y34" i="8"/>
  <c r="Y15" i="8" s="1"/>
  <c r="T18" i="7"/>
  <c r="Y18" i="7"/>
  <c r="Z18" i="7" s="1"/>
  <c r="L52" i="7"/>
  <c r="Y19" i="7"/>
  <c r="Z19" i="7" s="1"/>
  <c r="T19" i="7"/>
  <c r="T44" i="7"/>
  <c r="T43" i="7" s="1"/>
  <c r="Y44" i="7"/>
  <c r="Y48" i="7"/>
  <c r="Z48" i="7" s="1"/>
  <c r="T16" i="7"/>
  <c r="O13" i="7"/>
  <c r="T14" i="7"/>
  <c r="T13" i="7" s="1"/>
  <c r="Y14" i="7"/>
  <c r="T45" i="7"/>
  <c r="Y45" i="7"/>
  <c r="Z45" i="7" s="1"/>
  <c r="Y29" i="7"/>
  <c r="Z29" i="7" s="1"/>
  <c r="T29" i="7"/>
  <c r="S52" i="7"/>
  <c r="Y26" i="7"/>
  <c r="Z26" i="7" s="1"/>
  <c r="T26" i="7"/>
  <c r="Y21" i="7"/>
  <c r="Z21" i="7" s="1"/>
  <c r="T21" i="7"/>
  <c r="Y43" i="8" l="1"/>
  <c r="O52" i="7"/>
  <c r="Z15" i="7"/>
  <c r="T15" i="8"/>
  <c r="T15" i="7"/>
  <c r="Y43" i="7"/>
  <c r="Y15" i="7"/>
  <c r="O52" i="8"/>
  <c r="Z18" i="8"/>
  <c r="Z22" i="8"/>
  <c r="Z46" i="8"/>
  <c r="Z45" i="8"/>
  <c r="Z43" i="8" s="1"/>
  <c r="Z35" i="8"/>
  <c r="Z23" i="8"/>
  <c r="T52" i="8"/>
  <c r="Z34" i="8"/>
  <c r="Z16" i="8"/>
  <c r="Z14" i="8"/>
  <c r="Z13" i="8" s="1"/>
  <c r="Y13" i="8"/>
  <c r="Z14" i="7"/>
  <c r="Z13" i="7" s="1"/>
  <c r="Y13" i="7"/>
  <c r="Z44" i="7"/>
  <c r="Z43" i="7" s="1"/>
  <c r="Z52" i="7" s="1"/>
  <c r="T52" i="7"/>
  <c r="D51" i="6"/>
  <c r="L51" i="6" s="1"/>
  <c r="N51" i="6"/>
  <c r="R51" i="6"/>
  <c r="D50" i="6"/>
  <c r="P50" i="6" s="1"/>
  <c r="D37" i="6"/>
  <c r="R37" i="6" s="1"/>
  <c r="D37" i="5"/>
  <c r="M37" i="5" s="1"/>
  <c r="D21" i="2"/>
  <c r="M50" i="6" l="1"/>
  <c r="Q50" i="6"/>
  <c r="Z15" i="8"/>
  <c r="Z52" i="8" s="1"/>
  <c r="Y52" i="8"/>
  <c r="Y52" i="7"/>
  <c r="L37" i="6"/>
  <c r="P37" i="6"/>
  <c r="Q37" i="6"/>
  <c r="M37" i="6"/>
  <c r="O51" i="6"/>
  <c r="Q51" i="6"/>
  <c r="M51" i="6"/>
  <c r="P51" i="6"/>
  <c r="S50" i="6"/>
  <c r="T50" i="6"/>
  <c r="N50" i="6"/>
  <c r="R50" i="6"/>
  <c r="L50" i="6"/>
  <c r="O50" i="6" s="1"/>
  <c r="Y50" i="6" s="1"/>
  <c r="Z50" i="6" s="1"/>
  <c r="N37" i="6"/>
  <c r="P37" i="5"/>
  <c r="L37" i="5"/>
  <c r="R37" i="5"/>
  <c r="N37" i="5"/>
  <c r="Q37" i="5"/>
  <c r="M47" i="3"/>
  <c r="O47" i="3"/>
  <c r="Q47" i="3"/>
  <c r="S47" i="3" s="1"/>
  <c r="T51" i="6" l="1"/>
  <c r="P51" i="13"/>
  <c r="X51" i="13" s="1"/>
  <c r="Y51" i="6"/>
  <c r="Z51" i="6" s="1"/>
  <c r="S51" i="6"/>
  <c r="S37" i="6"/>
  <c r="O37" i="6"/>
  <c r="O37" i="5"/>
  <c r="S37" i="5"/>
  <c r="X36" i="4"/>
  <c r="X45" i="4"/>
  <c r="T37" i="5" l="1"/>
  <c r="Y37" i="5"/>
  <c r="Z37" i="5" s="1"/>
  <c r="T37" i="6"/>
  <c r="Y37" i="6"/>
  <c r="P37" i="13"/>
  <c r="X37" i="13" s="1"/>
  <c r="E15" i="4"/>
  <c r="F15" i="4"/>
  <c r="G15" i="4"/>
  <c r="H15" i="4"/>
  <c r="I15" i="4"/>
  <c r="J15" i="4"/>
  <c r="U15" i="4"/>
  <c r="W15" i="4"/>
  <c r="E43" i="4"/>
  <c r="F43" i="4"/>
  <c r="G43" i="4"/>
  <c r="H43" i="4"/>
  <c r="I43" i="4"/>
  <c r="J43" i="4"/>
  <c r="U43" i="4"/>
  <c r="W43" i="4"/>
  <c r="X43" i="4"/>
  <c r="Z37" i="6" l="1"/>
  <c r="W37" i="13" s="1"/>
  <c r="V37" i="13"/>
  <c r="X34" i="4"/>
  <c r="U34" i="13" s="1"/>
  <c r="V13" i="4"/>
  <c r="K45" i="4"/>
  <c r="G45" i="13" s="1"/>
  <c r="K46" i="4"/>
  <c r="K48" i="4"/>
  <c r="K49" i="4"/>
  <c r="G49" i="13" s="1"/>
  <c r="K50" i="4"/>
  <c r="K44" i="4"/>
  <c r="G44" i="13" s="1"/>
  <c r="K17" i="4"/>
  <c r="K18" i="4"/>
  <c r="K19" i="4"/>
  <c r="G19" i="13" s="1"/>
  <c r="K20" i="4"/>
  <c r="K21" i="4"/>
  <c r="K22" i="4"/>
  <c r="K23" i="4"/>
  <c r="K24" i="4"/>
  <c r="K25" i="4"/>
  <c r="K26" i="4"/>
  <c r="K27" i="4"/>
  <c r="G27" i="13" s="1"/>
  <c r="K28" i="4"/>
  <c r="K29" i="4"/>
  <c r="G29" i="13" s="1"/>
  <c r="K30" i="4"/>
  <c r="K31" i="4"/>
  <c r="K32" i="4"/>
  <c r="K33" i="4"/>
  <c r="K34" i="4"/>
  <c r="K35" i="4"/>
  <c r="K36" i="4"/>
  <c r="K16" i="4"/>
  <c r="V16" i="4" s="1"/>
  <c r="V49" i="4"/>
  <c r="Y47" i="4"/>
  <c r="Z47" i="4" s="1"/>
  <c r="V45" i="4"/>
  <c r="X32" i="4"/>
  <c r="X31" i="4"/>
  <c r="X30" i="4"/>
  <c r="X29" i="4"/>
  <c r="V29" i="4"/>
  <c r="X28" i="4"/>
  <c r="X27" i="4"/>
  <c r="V27" i="4"/>
  <c r="X24" i="4"/>
  <c r="X21" i="4"/>
  <c r="X20" i="4"/>
  <c r="V19" i="4"/>
  <c r="X18" i="4"/>
  <c r="X17" i="4"/>
  <c r="X13" i="4"/>
  <c r="W13" i="4"/>
  <c r="V12" i="4"/>
  <c r="V11" i="4" s="1"/>
  <c r="Z11" i="4"/>
  <c r="Y11" i="4"/>
  <c r="X11" i="4"/>
  <c r="W11" i="4"/>
  <c r="J13" i="4"/>
  <c r="J52" i="4" s="1"/>
  <c r="W52" i="4" l="1"/>
  <c r="V48" i="4"/>
  <c r="G48" i="13"/>
  <c r="V46" i="4"/>
  <c r="G46" i="13"/>
  <c r="V50" i="4"/>
  <c r="S50" i="13" s="1"/>
  <c r="G50" i="13"/>
  <c r="G43" i="13" s="1"/>
  <c r="V34" i="4"/>
  <c r="G34" i="13"/>
  <c r="V30" i="4"/>
  <c r="G30" i="13"/>
  <c r="V22" i="4"/>
  <c r="G22" i="13"/>
  <c r="V18" i="4"/>
  <c r="G18" i="13"/>
  <c r="V25" i="4"/>
  <c r="G25" i="13"/>
  <c r="V21" i="4"/>
  <c r="G21" i="13"/>
  <c r="V17" i="4"/>
  <c r="G17" i="13"/>
  <c r="V33" i="4"/>
  <c r="G33" i="13"/>
  <c r="V36" i="4"/>
  <c r="G36" i="13"/>
  <c r="V32" i="4"/>
  <c r="G32" i="13"/>
  <c r="V28" i="4"/>
  <c r="G28" i="13"/>
  <c r="V24" i="4"/>
  <c r="G24" i="13"/>
  <c r="V20" i="4"/>
  <c r="G20" i="13"/>
  <c r="V26" i="4"/>
  <c r="G26" i="13"/>
  <c r="V35" i="4"/>
  <c r="G35" i="13"/>
  <c r="V31" i="4"/>
  <c r="G31" i="13"/>
  <c r="V23" i="4"/>
  <c r="G23" i="13"/>
  <c r="K15" i="4"/>
  <c r="V44" i="4"/>
  <c r="K43" i="4"/>
  <c r="X15" i="4"/>
  <c r="X52" i="4" s="1"/>
  <c r="D50" i="5"/>
  <c r="R50" i="5" s="1"/>
  <c r="D50" i="4"/>
  <c r="M50" i="4" s="1"/>
  <c r="Y47" i="3"/>
  <c r="Z47" i="3" s="1"/>
  <c r="X45" i="3"/>
  <c r="X43" i="3" s="1"/>
  <c r="W43" i="3"/>
  <c r="X36" i="3"/>
  <c r="X32" i="3"/>
  <c r="X31" i="3"/>
  <c r="X30" i="3"/>
  <c r="X29" i="3"/>
  <c r="X28" i="3"/>
  <c r="X27" i="3"/>
  <c r="X24" i="3"/>
  <c r="X21" i="3"/>
  <c r="X20" i="3"/>
  <c r="X18" i="3"/>
  <c r="X17" i="3"/>
  <c r="X15" i="3" s="1"/>
  <c r="W15" i="3"/>
  <c r="X13" i="3"/>
  <c r="W13" i="3"/>
  <c r="Z11" i="3"/>
  <c r="Y11" i="3"/>
  <c r="X11" i="3"/>
  <c r="W11" i="3"/>
  <c r="X45" i="2"/>
  <c r="X43" i="2" s="1"/>
  <c r="W43" i="2"/>
  <c r="X36" i="2"/>
  <c r="X32" i="2"/>
  <c r="X31" i="2"/>
  <c r="X30" i="2"/>
  <c r="X29" i="2"/>
  <c r="X28" i="2"/>
  <c r="X27" i="2"/>
  <c r="X24" i="2"/>
  <c r="X21" i="2"/>
  <c r="X20" i="2"/>
  <c r="X18" i="2"/>
  <c r="X17" i="2"/>
  <c r="W15" i="2"/>
  <c r="X13" i="2"/>
  <c r="W13" i="2"/>
  <c r="Z11" i="2"/>
  <c r="Y11" i="2"/>
  <c r="X11" i="2"/>
  <c r="W11" i="2"/>
  <c r="W52" i="2" s="1"/>
  <c r="K47" i="1"/>
  <c r="D47" i="13" s="1"/>
  <c r="X36" i="1"/>
  <c r="U36" i="13" s="1"/>
  <c r="X45" i="1"/>
  <c r="U45" i="13" s="1"/>
  <c r="U43" i="13" s="1"/>
  <c r="X24" i="1"/>
  <c r="U24" i="13" s="1"/>
  <c r="X18" i="1"/>
  <c r="U18" i="13" s="1"/>
  <c r="X32" i="1"/>
  <c r="U32" i="13" s="1"/>
  <c r="X27" i="1"/>
  <c r="U27" i="13" s="1"/>
  <c r="X30" i="1"/>
  <c r="U30" i="13" s="1"/>
  <c r="X21" i="1"/>
  <c r="U21" i="13" s="1"/>
  <c r="X20" i="1"/>
  <c r="U20" i="13" s="1"/>
  <c r="X17" i="1"/>
  <c r="U17" i="13" s="1"/>
  <c r="U15" i="13" s="1"/>
  <c r="U52" i="13" s="1"/>
  <c r="X29" i="1"/>
  <c r="U29" i="13" s="1"/>
  <c r="X28" i="1"/>
  <c r="U28" i="13" s="1"/>
  <c r="X31" i="1"/>
  <c r="U31" i="13" s="1"/>
  <c r="W11" i="1"/>
  <c r="X11" i="1"/>
  <c r="Y11" i="1"/>
  <c r="Z11" i="1"/>
  <c r="W13" i="1"/>
  <c r="X13" i="1"/>
  <c r="W15" i="1"/>
  <c r="W43" i="1"/>
  <c r="X43" i="1"/>
  <c r="V15" i="4" l="1"/>
  <c r="V43" i="4"/>
  <c r="V52" i="4"/>
  <c r="M50" i="5"/>
  <c r="Q50" i="5"/>
  <c r="N50" i="4"/>
  <c r="W52" i="3"/>
  <c r="R50" i="4"/>
  <c r="L50" i="4"/>
  <c r="P50" i="4"/>
  <c r="X15" i="2"/>
  <c r="X52" i="2" s="1"/>
  <c r="X52" i="3"/>
  <c r="Q50" i="4"/>
  <c r="L50" i="5"/>
  <c r="N50" i="5"/>
  <c r="P50" i="5"/>
  <c r="X15" i="1"/>
  <c r="X52" i="1" s="1"/>
  <c r="K49" i="3"/>
  <c r="F49" i="13" s="1"/>
  <c r="K48" i="3"/>
  <c r="F48" i="13" s="1"/>
  <c r="K45" i="3"/>
  <c r="F45" i="13" s="1"/>
  <c r="K46" i="3"/>
  <c r="F46" i="13" s="1"/>
  <c r="K44" i="3"/>
  <c r="K17" i="3"/>
  <c r="F17" i="13" s="1"/>
  <c r="K18" i="3"/>
  <c r="F18" i="13" s="1"/>
  <c r="K19" i="3"/>
  <c r="F19" i="13" s="1"/>
  <c r="K20" i="3"/>
  <c r="F20" i="13" s="1"/>
  <c r="K21" i="3"/>
  <c r="F21" i="13" s="1"/>
  <c r="K22" i="3"/>
  <c r="F22" i="13" s="1"/>
  <c r="K23" i="3"/>
  <c r="F23" i="13" s="1"/>
  <c r="K24" i="3"/>
  <c r="F24" i="13" s="1"/>
  <c r="K25" i="3"/>
  <c r="F25" i="13" s="1"/>
  <c r="K26" i="3"/>
  <c r="F26" i="13" s="1"/>
  <c r="K27" i="3"/>
  <c r="F27" i="13" s="1"/>
  <c r="K28" i="3"/>
  <c r="F28" i="13" s="1"/>
  <c r="K29" i="3"/>
  <c r="F29" i="13" s="1"/>
  <c r="K30" i="3"/>
  <c r="F30" i="13" s="1"/>
  <c r="K31" i="3"/>
  <c r="F31" i="13" s="1"/>
  <c r="K32" i="3"/>
  <c r="F32" i="13" s="1"/>
  <c r="K33" i="3"/>
  <c r="F33" i="13" s="1"/>
  <c r="K34" i="3"/>
  <c r="F34" i="13" s="1"/>
  <c r="K35" i="3"/>
  <c r="F35" i="13" s="1"/>
  <c r="K36" i="3"/>
  <c r="F36" i="13" s="1"/>
  <c r="K16" i="3"/>
  <c r="K14" i="3"/>
  <c r="J43" i="3"/>
  <c r="E15" i="3"/>
  <c r="F15" i="3"/>
  <c r="G15" i="3"/>
  <c r="H15" i="3"/>
  <c r="I15" i="3"/>
  <c r="J15" i="3"/>
  <c r="U15" i="3"/>
  <c r="J13" i="3"/>
  <c r="J11" i="3"/>
  <c r="J52" i="3" s="1"/>
  <c r="K45" i="2"/>
  <c r="E45" i="13" s="1"/>
  <c r="K46" i="2"/>
  <c r="E46" i="13" s="1"/>
  <c r="K47" i="2"/>
  <c r="E47" i="13" s="1"/>
  <c r="K48" i="2"/>
  <c r="K49" i="2"/>
  <c r="E49" i="13" s="1"/>
  <c r="K44" i="2"/>
  <c r="E44" i="13" s="1"/>
  <c r="K17" i="2"/>
  <c r="E17" i="13" s="1"/>
  <c r="K18" i="2"/>
  <c r="E18" i="13" s="1"/>
  <c r="K19" i="2"/>
  <c r="E19" i="13" s="1"/>
  <c r="K20" i="2"/>
  <c r="E20" i="13" s="1"/>
  <c r="K21" i="2"/>
  <c r="E21" i="13" s="1"/>
  <c r="K22" i="2"/>
  <c r="E22" i="13" s="1"/>
  <c r="K23" i="2"/>
  <c r="E23" i="13" s="1"/>
  <c r="K24" i="2"/>
  <c r="E24" i="13" s="1"/>
  <c r="K25" i="2"/>
  <c r="E25" i="13" s="1"/>
  <c r="K26" i="2"/>
  <c r="E26" i="13" s="1"/>
  <c r="K27" i="2"/>
  <c r="E27" i="13" s="1"/>
  <c r="K28" i="2"/>
  <c r="E28" i="13" s="1"/>
  <c r="K29" i="2"/>
  <c r="E29" i="13" s="1"/>
  <c r="K30" i="2"/>
  <c r="E30" i="13" s="1"/>
  <c r="K31" i="2"/>
  <c r="E31" i="13" s="1"/>
  <c r="K32" i="2"/>
  <c r="E32" i="13" s="1"/>
  <c r="K33" i="2"/>
  <c r="E33" i="13" s="1"/>
  <c r="K34" i="2"/>
  <c r="E34" i="13" s="1"/>
  <c r="K35" i="2"/>
  <c r="E35" i="13" s="1"/>
  <c r="K36" i="2"/>
  <c r="E36" i="13" s="1"/>
  <c r="K16" i="2"/>
  <c r="K14" i="2"/>
  <c r="J43" i="2"/>
  <c r="J15" i="2"/>
  <c r="J13" i="2"/>
  <c r="J11" i="2"/>
  <c r="J52" i="2" s="1"/>
  <c r="K45" i="1"/>
  <c r="D45" i="13" s="1"/>
  <c r="K46" i="1"/>
  <c r="D46" i="13" s="1"/>
  <c r="K48" i="1"/>
  <c r="D48" i="13" s="1"/>
  <c r="K49" i="1"/>
  <c r="D49" i="13" s="1"/>
  <c r="K44" i="1"/>
  <c r="D44" i="13" s="1"/>
  <c r="D43" i="13" s="1"/>
  <c r="K17" i="1"/>
  <c r="D17" i="13" s="1"/>
  <c r="K18" i="1"/>
  <c r="D18" i="13" s="1"/>
  <c r="K19" i="1"/>
  <c r="K20" i="1"/>
  <c r="K21" i="1"/>
  <c r="D21" i="13" s="1"/>
  <c r="K22" i="1"/>
  <c r="D22" i="13" s="1"/>
  <c r="K23" i="1"/>
  <c r="D23" i="13" s="1"/>
  <c r="K24" i="1"/>
  <c r="D24" i="13" s="1"/>
  <c r="K25" i="1"/>
  <c r="D25" i="13" s="1"/>
  <c r="K26" i="1"/>
  <c r="D26" i="13" s="1"/>
  <c r="K27" i="1"/>
  <c r="D27" i="13" s="1"/>
  <c r="K28" i="1"/>
  <c r="K29" i="1"/>
  <c r="D29" i="13" s="1"/>
  <c r="K30" i="1"/>
  <c r="K31" i="1"/>
  <c r="K32" i="1"/>
  <c r="D32" i="13" s="1"/>
  <c r="K33" i="1"/>
  <c r="K34" i="1"/>
  <c r="K35" i="1"/>
  <c r="D35" i="13" s="1"/>
  <c r="K36" i="1"/>
  <c r="D36" i="13" s="1"/>
  <c r="K16" i="1"/>
  <c r="D16" i="13" s="1"/>
  <c r="K14" i="1"/>
  <c r="I11" i="1"/>
  <c r="J11" i="1"/>
  <c r="J13" i="1"/>
  <c r="J15" i="1"/>
  <c r="J43" i="1"/>
  <c r="E15" i="1"/>
  <c r="F15" i="1"/>
  <c r="G15" i="1"/>
  <c r="H15" i="1"/>
  <c r="I15" i="1"/>
  <c r="E15" i="2"/>
  <c r="F15" i="2"/>
  <c r="G15" i="2"/>
  <c r="H15" i="2"/>
  <c r="I15" i="2"/>
  <c r="D49" i="6"/>
  <c r="R49" i="6" s="1"/>
  <c r="D48" i="6"/>
  <c r="R48" i="6" s="1"/>
  <c r="D46" i="6"/>
  <c r="R46" i="6" s="1"/>
  <c r="D45" i="6"/>
  <c r="R45" i="6" s="1"/>
  <c r="D44" i="6"/>
  <c r="D36" i="6"/>
  <c r="R36" i="6" s="1"/>
  <c r="D35" i="6"/>
  <c r="R35" i="6" s="1"/>
  <c r="D34" i="6"/>
  <c r="R34" i="6" s="1"/>
  <c r="D33" i="6"/>
  <c r="R33" i="6" s="1"/>
  <c r="D32" i="6"/>
  <c r="R32" i="6" s="1"/>
  <c r="D31" i="6"/>
  <c r="R31" i="6" s="1"/>
  <c r="D30" i="6"/>
  <c r="R30" i="6" s="1"/>
  <c r="D29" i="6"/>
  <c r="R29" i="6" s="1"/>
  <c r="D28" i="6"/>
  <c r="R28" i="6" s="1"/>
  <c r="D27" i="6"/>
  <c r="R27" i="6" s="1"/>
  <c r="D26" i="6"/>
  <c r="R26" i="6" s="1"/>
  <c r="D25" i="6"/>
  <c r="R25" i="6" s="1"/>
  <c r="D24" i="6"/>
  <c r="R24" i="6" s="1"/>
  <c r="D23" i="6"/>
  <c r="R23" i="6" s="1"/>
  <c r="D22" i="6"/>
  <c r="R22" i="6" s="1"/>
  <c r="D21" i="6"/>
  <c r="R21" i="6" s="1"/>
  <c r="D20" i="6"/>
  <c r="R20" i="6" s="1"/>
  <c r="D19" i="6"/>
  <c r="R19" i="6" s="1"/>
  <c r="D18" i="6"/>
  <c r="R18" i="6" s="1"/>
  <c r="D17" i="6"/>
  <c r="D16" i="6"/>
  <c r="D14" i="6"/>
  <c r="R14" i="6" s="1"/>
  <c r="R13" i="6" s="1"/>
  <c r="U13" i="6"/>
  <c r="I13" i="6"/>
  <c r="H13" i="6"/>
  <c r="G13" i="6"/>
  <c r="F13" i="6"/>
  <c r="E13" i="6"/>
  <c r="D12" i="6"/>
  <c r="Q12" i="6" s="1"/>
  <c r="Q11" i="6" s="1"/>
  <c r="U11" i="6"/>
  <c r="T11" i="6"/>
  <c r="K11" i="6"/>
  <c r="I11" i="6"/>
  <c r="H11" i="6"/>
  <c r="H52" i="6" s="1"/>
  <c r="G11" i="6"/>
  <c r="F11" i="6"/>
  <c r="F52" i="6" s="1"/>
  <c r="E11" i="6"/>
  <c r="D11" i="6"/>
  <c r="D49" i="5"/>
  <c r="R49" i="5" s="1"/>
  <c r="D48" i="5"/>
  <c r="R48" i="5" s="1"/>
  <c r="D46" i="5"/>
  <c r="R46" i="5" s="1"/>
  <c r="D45" i="5"/>
  <c r="R45" i="5" s="1"/>
  <c r="D44" i="5"/>
  <c r="D36" i="5"/>
  <c r="R36" i="5" s="1"/>
  <c r="D35" i="5"/>
  <c r="R35" i="5" s="1"/>
  <c r="D34" i="5"/>
  <c r="R34" i="5" s="1"/>
  <c r="D33" i="5"/>
  <c r="R33" i="5" s="1"/>
  <c r="D32" i="5"/>
  <c r="R32" i="5" s="1"/>
  <c r="D31" i="5"/>
  <c r="R31" i="5" s="1"/>
  <c r="D30" i="5"/>
  <c r="R30" i="5" s="1"/>
  <c r="D29" i="5"/>
  <c r="R29" i="5" s="1"/>
  <c r="D28" i="5"/>
  <c r="R28" i="5" s="1"/>
  <c r="D27" i="5"/>
  <c r="R27" i="5" s="1"/>
  <c r="D26" i="5"/>
  <c r="R26" i="5" s="1"/>
  <c r="D25" i="5"/>
  <c r="R25" i="5" s="1"/>
  <c r="D24" i="5"/>
  <c r="R24" i="5" s="1"/>
  <c r="D23" i="5"/>
  <c r="R23" i="5" s="1"/>
  <c r="D22" i="5"/>
  <c r="R22" i="5" s="1"/>
  <c r="D21" i="5"/>
  <c r="R21" i="5" s="1"/>
  <c r="D20" i="5"/>
  <c r="R20" i="5" s="1"/>
  <c r="D19" i="5"/>
  <c r="R19" i="5" s="1"/>
  <c r="D18" i="5"/>
  <c r="R18" i="5" s="1"/>
  <c r="D17" i="5"/>
  <c r="D16" i="5"/>
  <c r="D14" i="5"/>
  <c r="U13" i="5"/>
  <c r="K13" i="5"/>
  <c r="I13" i="5"/>
  <c r="H13" i="5"/>
  <c r="G13" i="5"/>
  <c r="F13" i="5"/>
  <c r="E13" i="5"/>
  <c r="D12" i="5"/>
  <c r="Q12" i="5" s="1"/>
  <c r="Q11" i="5" s="1"/>
  <c r="U11" i="5"/>
  <c r="U52" i="5" s="1"/>
  <c r="T11" i="5"/>
  <c r="K11" i="5"/>
  <c r="K52" i="5" s="1"/>
  <c r="I11" i="5"/>
  <c r="I52" i="5" s="1"/>
  <c r="H11" i="5"/>
  <c r="H52" i="5" s="1"/>
  <c r="G11" i="5"/>
  <c r="F52" i="5"/>
  <c r="E11" i="5"/>
  <c r="E52" i="5" s="1"/>
  <c r="D49" i="4"/>
  <c r="R49" i="4" s="1"/>
  <c r="D48" i="4"/>
  <c r="R48" i="4" s="1"/>
  <c r="D46" i="4"/>
  <c r="R46" i="4" s="1"/>
  <c r="D45" i="4"/>
  <c r="R45" i="4" s="1"/>
  <c r="D44" i="4"/>
  <c r="D43" i="4" s="1"/>
  <c r="D36" i="4"/>
  <c r="R36" i="4" s="1"/>
  <c r="D35" i="4"/>
  <c r="R35" i="4" s="1"/>
  <c r="D34" i="4"/>
  <c r="R34" i="4" s="1"/>
  <c r="D33" i="4"/>
  <c r="R33" i="4" s="1"/>
  <c r="D32" i="4"/>
  <c r="R32" i="4" s="1"/>
  <c r="D31" i="4"/>
  <c r="R31" i="4" s="1"/>
  <c r="D30" i="4"/>
  <c r="R30" i="4" s="1"/>
  <c r="D29" i="4"/>
  <c r="R29" i="4" s="1"/>
  <c r="D28" i="4"/>
  <c r="R28" i="4" s="1"/>
  <c r="D27" i="4"/>
  <c r="R27" i="4" s="1"/>
  <c r="D26" i="4"/>
  <c r="R26" i="4" s="1"/>
  <c r="D25" i="4"/>
  <c r="R25" i="4" s="1"/>
  <c r="D24" i="4"/>
  <c r="R24" i="4" s="1"/>
  <c r="D23" i="4"/>
  <c r="R23" i="4" s="1"/>
  <c r="D22" i="4"/>
  <c r="R22" i="4" s="1"/>
  <c r="D21" i="4"/>
  <c r="R21" i="4" s="1"/>
  <c r="D20" i="4"/>
  <c r="R20" i="4" s="1"/>
  <c r="D19" i="4"/>
  <c r="R19" i="4" s="1"/>
  <c r="D18" i="4"/>
  <c r="R18" i="4" s="1"/>
  <c r="D17" i="4"/>
  <c r="D16" i="4"/>
  <c r="D14" i="4"/>
  <c r="U13" i="4"/>
  <c r="K13" i="4"/>
  <c r="I13" i="4"/>
  <c r="H13" i="4"/>
  <c r="G13" i="4"/>
  <c r="F13" i="4"/>
  <c r="E13" i="4"/>
  <c r="D12" i="4"/>
  <c r="Q12" i="4" s="1"/>
  <c r="Q11" i="4" s="1"/>
  <c r="U11" i="4"/>
  <c r="U52" i="4" s="1"/>
  <c r="T11" i="4"/>
  <c r="K11" i="4"/>
  <c r="I11" i="4"/>
  <c r="H11" i="4"/>
  <c r="H52" i="4" s="1"/>
  <c r="G11" i="4"/>
  <c r="G52" i="4" s="1"/>
  <c r="F11" i="4"/>
  <c r="E11" i="4"/>
  <c r="D11" i="4"/>
  <c r="D49" i="3"/>
  <c r="R49" i="3" s="1"/>
  <c r="D48" i="3"/>
  <c r="R48" i="3" s="1"/>
  <c r="D46" i="3"/>
  <c r="R46" i="3" s="1"/>
  <c r="D45" i="3"/>
  <c r="R45" i="3" s="1"/>
  <c r="D44" i="3"/>
  <c r="R44" i="3" s="1"/>
  <c r="U43" i="3"/>
  <c r="I43" i="3"/>
  <c r="H43" i="3"/>
  <c r="G43" i="3"/>
  <c r="F43" i="3"/>
  <c r="E43" i="3"/>
  <c r="D36" i="3"/>
  <c r="R36" i="3" s="1"/>
  <c r="D35" i="3"/>
  <c r="R35" i="3" s="1"/>
  <c r="D34" i="3"/>
  <c r="R34" i="3" s="1"/>
  <c r="D33" i="3"/>
  <c r="R33" i="3" s="1"/>
  <c r="D32" i="3"/>
  <c r="R32" i="3" s="1"/>
  <c r="D31" i="3"/>
  <c r="R31" i="3" s="1"/>
  <c r="D30" i="3"/>
  <c r="R30" i="3" s="1"/>
  <c r="D29" i="3"/>
  <c r="R29" i="3" s="1"/>
  <c r="D28" i="3"/>
  <c r="R28" i="3" s="1"/>
  <c r="D27" i="3"/>
  <c r="R27" i="3" s="1"/>
  <c r="D26" i="3"/>
  <c r="R26" i="3" s="1"/>
  <c r="D25" i="3"/>
  <c r="R25" i="3" s="1"/>
  <c r="D24" i="3"/>
  <c r="R24" i="3" s="1"/>
  <c r="D23" i="3"/>
  <c r="R23" i="3" s="1"/>
  <c r="D22" i="3"/>
  <c r="R22" i="3" s="1"/>
  <c r="D21" i="3"/>
  <c r="D20" i="3"/>
  <c r="R20" i="3" s="1"/>
  <c r="D19" i="3"/>
  <c r="R19" i="3" s="1"/>
  <c r="D18" i="3"/>
  <c r="R18" i="3" s="1"/>
  <c r="D17" i="3"/>
  <c r="R17" i="3" s="1"/>
  <c r="D16" i="3"/>
  <c r="R16" i="3" s="1"/>
  <c r="D14" i="3"/>
  <c r="R14" i="3" s="1"/>
  <c r="R13" i="3" s="1"/>
  <c r="U13" i="3"/>
  <c r="I13" i="3"/>
  <c r="H13" i="3"/>
  <c r="G13" i="3"/>
  <c r="F13" i="3"/>
  <c r="E13" i="3"/>
  <c r="D13" i="3"/>
  <c r="V12" i="3"/>
  <c r="V11" i="3" s="1"/>
  <c r="D12" i="3"/>
  <c r="Q12" i="3" s="1"/>
  <c r="Q11" i="3" s="1"/>
  <c r="U11" i="3"/>
  <c r="T11" i="3"/>
  <c r="K11" i="3"/>
  <c r="I11" i="3"/>
  <c r="I52" i="3" s="1"/>
  <c r="H11" i="3"/>
  <c r="G11" i="3"/>
  <c r="G52" i="3" s="1"/>
  <c r="F11" i="3"/>
  <c r="E11" i="3"/>
  <c r="E52" i="3" s="1"/>
  <c r="D49" i="2"/>
  <c r="R49" i="2" s="1"/>
  <c r="D48" i="2"/>
  <c r="R48" i="2" s="1"/>
  <c r="D47" i="2"/>
  <c r="R47" i="2" s="1"/>
  <c r="D46" i="2"/>
  <c r="R46" i="2" s="1"/>
  <c r="D45" i="2"/>
  <c r="R45" i="2" s="1"/>
  <c r="D44" i="2"/>
  <c r="R44" i="2" s="1"/>
  <c r="U43" i="2"/>
  <c r="I43" i="2"/>
  <c r="H43" i="2"/>
  <c r="G43" i="2"/>
  <c r="F43" i="2"/>
  <c r="E43" i="2"/>
  <c r="D36" i="2"/>
  <c r="R36" i="2" s="1"/>
  <c r="D35" i="2"/>
  <c r="R35" i="2" s="1"/>
  <c r="D34" i="2"/>
  <c r="R34" i="2" s="1"/>
  <c r="D33" i="2"/>
  <c r="R33" i="2" s="1"/>
  <c r="D32" i="2"/>
  <c r="R32" i="2" s="1"/>
  <c r="D31" i="2"/>
  <c r="R31" i="2" s="1"/>
  <c r="D30" i="2"/>
  <c r="R30" i="2" s="1"/>
  <c r="D29" i="2"/>
  <c r="R29" i="2" s="1"/>
  <c r="D28" i="2"/>
  <c r="R28" i="2" s="1"/>
  <c r="D27" i="2"/>
  <c r="R27" i="2" s="1"/>
  <c r="D26" i="2"/>
  <c r="R26" i="2" s="1"/>
  <c r="D25" i="2"/>
  <c r="R25" i="2" s="1"/>
  <c r="D24" i="2"/>
  <c r="R24" i="2" s="1"/>
  <c r="D23" i="2"/>
  <c r="R23" i="2" s="1"/>
  <c r="D22" i="2"/>
  <c r="R22" i="2" s="1"/>
  <c r="D20" i="2"/>
  <c r="R20" i="2" s="1"/>
  <c r="D19" i="2"/>
  <c r="R19" i="2" s="1"/>
  <c r="D18" i="2"/>
  <c r="R18" i="2" s="1"/>
  <c r="D17" i="2"/>
  <c r="R17" i="2" s="1"/>
  <c r="D16" i="2"/>
  <c r="R16" i="2" s="1"/>
  <c r="U15" i="2"/>
  <c r="D14" i="2"/>
  <c r="R14" i="2" s="1"/>
  <c r="R13" i="2" s="1"/>
  <c r="U13" i="2"/>
  <c r="I13" i="2"/>
  <c r="H13" i="2"/>
  <c r="G13" i="2"/>
  <c r="F13" i="2"/>
  <c r="E13" i="2"/>
  <c r="V12" i="2"/>
  <c r="V11" i="2" s="1"/>
  <c r="D12" i="2"/>
  <c r="Q12" i="2" s="1"/>
  <c r="Q11" i="2" s="1"/>
  <c r="U11" i="2"/>
  <c r="U52" i="2" s="1"/>
  <c r="T11" i="2"/>
  <c r="K11" i="2"/>
  <c r="I11" i="2"/>
  <c r="H11" i="2"/>
  <c r="H52" i="2" s="1"/>
  <c r="G11" i="2"/>
  <c r="F11" i="2"/>
  <c r="E11" i="2"/>
  <c r="D11" i="2"/>
  <c r="D36" i="1"/>
  <c r="M36" i="1" s="1"/>
  <c r="L36" i="1"/>
  <c r="D49" i="1"/>
  <c r="R49" i="1" s="1"/>
  <c r="D48" i="1"/>
  <c r="R48" i="1" s="1"/>
  <c r="D47" i="1"/>
  <c r="R47" i="1" s="1"/>
  <c r="V46" i="1"/>
  <c r="D46" i="1"/>
  <c r="Q46" i="1" s="1"/>
  <c r="V45" i="1"/>
  <c r="D45" i="1"/>
  <c r="Q45" i="1" s="1"/>
  <c r="V44" i="1"/>
  <c r="D44" i="1"/>
  <c r="Q44" i="1" s="1"/>
  <c r="U43" i="1"/>
  <c r="I43" i="1"/>
  <c r="H43" i="1"/>
  <c r="G43" i="1"/>
  <c r="F43" i="1"/>
  <c r="E43" i="1"/>
  <c r="D35" i="1"/>
  <c r="R35" i="1" s="1"/>
  <c r="D34" i="1"/>
  <c r="Q34" i="1" s="1"/>
  <c r="D33" i="1"/>
  <c r="Q33" i="1" s="1"/>
  <c r="D32" i="1"/>
  <c r="Q32" i="1" s="1"/>
  <c r="D31" i="1"/>
  <c r="Q31" i="1" s="1"/>
  <c r="D30" i="1"/>
  <c r="Q30" i="1" s="1"/>
  <c r="D29" i="1"/>
  <c r="Q29" i="1" s="1"/>
  <c r="D28" i="1"/>
  <c r="Q28" i="1" s="1"/>
  <c r="D27" i="1"/>
  <c r="R27" i="1" s="1"/>
  <c r="D26" i="1"/>
  <c r="R26" i="1" s="1"/>
  <c r="D25" i="1"/>
  <c r="R25" i="1" s="1"/>
  <c r="D24" i="1"/>
  <c r="R24" i="1" s="1"/>
  <c r="D23" i="1"/>
  <c r="R23" i="1" s="1"/>
  <c r="D22" i="1"/>
  <c r="R22" i="1" s="1"/>
  <c r="D21" i="1"/>
  <c r="R21" i="1" s="1"/>
  <c r="D20" i="1"/>
  <c r="Q20" i="1" s="1"/>
  <c r="D19" i="1"/>
  <c r="Q19" i="1" s="1"/>
  <c r="D18" i="1"/>
  <c r="R18" i="1" s="1"/>
  <c r="D17" i="1"/>
  <c r="R17" i="1" s="1"/>
  <c r="D16" i="1"/>
  <c r="R16" i="1" s="1"/>
  <c r="U15" i="1"/>
  <c r="D14" i="1"/>
  <c r="R14" i="1" s="1"/>
  <c r="R13" i="1" s="1"/>
  <c r="U13" i="1"/>
  <c r="I13" i="1"/>
  <c r="H13" i="1"/>
  <c r="G13" i="1"/>
  <c r="F13" i="1"/>
  <c r="E13" i="1"/>
  <c r="D13" i="1"/>
  <c r="V12" i="1"/>
  <c r="V11" i="1" s="1"/>
  <c r="D12" i="1"/>
  <c r="Q12" i="1" s="1"/>
  <c r="Q11" i="1" s="1"/>
  <c r="U11" i="1"/>
  <c r="T11" i="1"/>
  <c r="K11" i="1"/>
  <c r="H11" i="1"/>
  <c r="G11" i="1"/>
  <c r="F11" i="1"/>
  <c r="F52" i="1" s="1"/>
  <c r="E11" i="1"/>
  <c r="D11" i="1"/>
  <c r="R16" i="6" l="1"/>
  <c r="L16" i="6"/>
  <c r="K13" i="2"/>
  <c r="E14" i="13"/>
  <c r="K43" i="2"/>
  <c r="E48" i="13"/>
  <c r="K43" i="3"/>
  <c r="F44" i="13"/>
  <c r="F43" i="13" s="1"/>
  <c r="F52" i="2"/>
  <c r="R44" i="6"/>
  <c r="R43" i="6" s="1"/>
  <c r="D43" i="6"/>
  <c r="K13" i="1"/>
  <c r="D14" i="13"/>
  <c r="D13" i="13" s="1"/>
  <c r="E43" i="13"/>
  <c r="K13" i="3"/>
  <c r="F14" i="13"/>
  <c r="D15" i="6"/>
  <c r="V33" i="1"/>
  <c r="D33" i="13"/>
  <c r="V28" i="1"/>
  <c r="D28" i="13"/>
  <c r="V20" i="1"/>
  <c r="D20" i="13"/>
  <c r="V31" i="1"/>
  <c r="D31" i="13"/>
  <c r="V19" i="1"/>
  <c r="D19" i="13"/>
  <c r="V29" i="1"/>
  <c r="V32" i="1"/>
  <c r="V36" i="1"/>
  <c r="V34" i="1"/>
  <c r="D34" i="13"/>
  <c r="V30" i="1"/>
  <c r="D30" i="13"/>
  <c r="R17" i="5"/>
  <c r="D15" i="5"/>
  <c r="M29" i="6"/>
  <c r="R17" i="6"/>
  <c r="R15" i="6" s="1"/>
  <c r="R17" i="4"/>
  <c r="D15" i="4"/>
  <c r="R14" i="5"/>
  <c r="R13" i="5" s="1"/>
  <c r="D13" i="5"/>
  <c r="R16" i="5"/>
  <c r="R44" i="5"/>
  <c r="R43" i="5" s="1"/>
  <c r="D43" i="5"/>
  <c r="G52" i="5"/>
  <c r="K15" i="2"/>
  <c r="K52" i="2" s="1"/>
  <c r="R15" i="2"/>
  <c r="R16" i="4"/>
  <c r="I52" i="1"/>
  <c r="E52" i="2"/>
  <c r="I52" i="2"/>
  <c r="D43" i="2"/>
  <c r="R43" i="2"/>
  <c r="F52" i="3"/>
  <c r="E52" i="6"/>
  <c r="I52" i="6"/>
  <c r="H52" i="1"/>
  <c r="R15" i="3"/>
  <c r="M24" i="5"/>
  <c r="K15" i="1"/>
  <c r="S50" i="5"/>
  <c r="O50" i="4"/>
  <c r="G52" i="2"/>
  <c r="D13" i="2"/>
  <c r="D11" i="3"/>
  <c r="H52" i="3"/>
  <c r="U52" i="3"/>
  <c r="R14" i="4"/>
  <c r="R13" i="4" s="1"/>
  <c r="D13" i="4"/>
  <c r="M23" i="5"/>
  <c r="G52" i="6"/>
  <c r="L12" i="6"/>
  <c r="L11" i="6" s="1"/>
  <c r="K43" i="1"/>
  <c r="K15" i="3"/>
  <c r="K52" i="3" s="1"/>
  <c r="E52" i="4"/>
  <c r="F52" i="4"/>
  <c r="I52" i="4"/>
  <c r="K52" i="4"/>
  <c r="M21" i="5"/>
  <c r="M25" i="5"/>
  <c r="Q26" i="5"/>
  <c r="Q27" i="5"/>
  <c r="Q28" i="5"/>
  <c r="Q29" i="5"/>
  <c r="Q30" i="5"/>
  <c r="Q31" i="5"/>
  <c r="R12" i="6"/>
  <c r="R11" i="6" s="1"/>
  <c r="Q14" i="6"/>
  <c r="Q13" i="6" s="1"/>
  <c r="M30" i="6"/>
  <c r="Q31" i="6"/>
  <c r="D11" i="5"/>
  <c r="D15" i="2"/>
  <c r="D52" i="2" s="1"/>
  <c r="S50" i="4"/>
  <c r="R43" i="3"/>
  <c r="U52" i="6"/>
  <c r="N12" i="6"/>
  <c r="N11" i="6" s="1"/>
  <c r="D13" i="6"/>
  <c r="D52" i="6" s="1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D15" i="1"/>
  <c r="V14" i="1"/>
  <c r="O50" i="5"/>
  <c r="T50" i="5" s="1"/>
  <c r="R44" i="4"/>
  <c r="R43" i="4" s="1"/>
  <c r="M19" i="5"/>
  <c r="M22" i="5"/>
  <c r="M26" i="5"/>
  <c r="M27" i="5"/>
  <c r="M28" i="5"/>
  <c r="M29" i="5"/>
  <c r="M30" i="5"/>
  <c r="M31" i="5"/>
  <c r="M32" i="5"/>
  <c r="P12" i="6"/>
  <c r="M14" i="6"/>
  <c r="M13" i="6" s="1"/>
  <c r="Q16" i="6"/>
  <c r="Q17" i="6"/>
  <c r="Q18" i="6"/>
  <c r="Q19" i="6"/>
  <c r="Q20" i="6"/>
  <c r="Q21" i="6"/>
  <c r="Q22" i="6"/>
  <c r="Q23" i="6"/>
  <c r="Q24" i="6"/>
  <c r="Q25" i="6"/>
  <c r="Q26" i="6"/>
  <c r="Q27" i="6"/>
  <c r="M31" i="6"/>
  <c r="M32" i="6"/>
  <c r="D15" i="3"/>
  <c r="D43" i="3"/>
  <c r="V16" i="1"/>
  <c r="J52" i="1"/>
  <c r="R52" i="6"/>
  <c r="Q28" i="6"/>
  <c r="Q29" i="6"/>
  <c r="Q30" i="6"/>
  <c r="Q32" i="6"/>
  <c r="M33" i="6"/>
  <c r="Q33" i="6"/>
  <c r="M34" i="6"/>
  <c r="Q34" i="6"/>
  <c r="M35" i="6"/>
  <c r="Q35" i="6"/>
  <c r="M36" i="6"/>
  <c r="Q36" i="6"/>
  <c r="M44" i="6"/>
  <c r="Q44" i="6"/>
  <c r="M45" i="6"/>
  <c r="Q45" i="6"/>
  <c r="M46" i="6"/>
  <c r="Q46" i="6"/>
  <c r="M48" i="6"/>
  <c r="Q48" i="6"/>
  <c r="M49" i="6"/>
  <c r="Q49" i="6"/>
  <c r="M12" i="6"/>
  <c r="M11" i="6" s="1"/>
  <c r="K13" i="6"/>
  <c r="K52" i="6" s="1"/>
  <c r="L14" i="6"/>
  <c r="N14" i="6"/>
  <c r="N13" i="6" s="1"/>
  <c r="P14" i="6"/>
  <c r="N16" i="6"/>
  <c r="P16" i="6"/>
  <c r="L17" i="6"/>
  <c r="N17" i="6"/>
  <c r="P17" i="6"/>
  <c r="L18" i="6"/>
  <c r="N18" i="6"/>
  <c r="P18" i="6"/>
  <c r="S18" i="6" s="1"/>
  <c r="L19" i="6"/>
  <c r="N19" i="6"/>
  <c r="P19" i="6"/>
  <c r="S19" i="6" s="1"/>
  <c r="L20" i="6"/>
  <c r="N20" i="6"/>
  <c r="P20" i="6"/>
  <c r="S20" i="6" s="1"/>
  <c r="L21" i="6"/>
  <c r="N21" i="6"/>
  <c r="P21" i="6"/>
  <c r="L22" i="6"/>
  <c r="N22" i="6"/>
  <c r="P22" i="6"/>
  <c r="S22" i="6" s="1"/>
  <c r="L23" i="6"/>
  <c r="N23" i="6"/>
  <c r="P23" i="6"/>
  <c r="L24" i="6"/>
  <c r="N24" i="6"/>
  <c r="P24" i="6"/>
  <c r="L25" i="6"/>
  <c r="N25" i="6"/>
  <c r="P25" i="6"/>
  <c r="L26" i="6"/>
  <c r="N26" i="6"/>
  <c r="P26" i="6"/>
  <c r="S26" i="6" s="1"/>
  <c r="L27" i="6"/>
  <c r="N27" i="6"/>
  <c r="P27" i="6"/>
  <c r="L28" i="6"/>
  <c r="N28" i="6"/>
  <c r="P28" i="6"/>
  <c r="L29" i="6"/>
  <c r="N29" i="6"/>
  <c r="P29" i="6"/>
  <c r="L30" i="6"/>
  <c r="N30" i="6"/>
  <c r="P30" i="6"/>
  <c r="S30" i="6" s="1"/>
  <c r="L31" i="6"/>
  <c r="N31" i="6"/>
  <c r="P31" i="6"/>
  <c r="S31" i="6" s="1"/>
  <c r="L32" i="6"/>
  <c r="N32" i="6"/>
  <c r="P32" i="6"/>
  <c r="L33" i="6"/>
  <c r="N33" i="6"/>
  <c r="P33" i="6"/>
  <c r="L34" i="6"/>
  <c r="N34" i="6"/>
  <c r="P34" i="6"/>
  <c r="S34" i="6" s="1"/>
  <c r="L35" i="6"/>
  <c r="N35" i="6"/>
  <c r="P35" i="6"/>
  <c r="S35" i="6" s="1"/>
  <c r="L36" i="6"/>
  <c r="N36" i="6"/>
  <c r="P36" i="6"/>
  <c r="L44" i="6"/>
  <c r="N44" i="6"/>
  <c r="P44" i="6"/>
  <c r="L45" i="6"/>
  <c r="N45" i="6"/>
  <c r="P45" i="6"/>
  <c r="S45" i="6" s="1"/>
  <c r="L46" i="6"/>
  <c r="N46" i="6"/>
  <c r="P46" i="6"/>
  <c r="S46" i="6" s="1"/>
  <c r="L48" i="6"/>
  <c r="N48" i="6"/>
  <c r="P48" i="6"/>
  <c r="L49" i="6"/>
  <c r="N49" i="6"/>
  <c r="P49" i="6"/>
  <c r="L12" i="5"/>
  <c r="N12" i="5"/>
  <c r="N11" i="5" s="1"/>
  <c r="P12" i="5"/>
  <c r="R12" i="5"/>
  <c r="R11" i="5" s="1"/>
  <c r="M14" i="5"/>
  <c r="M13" i="5" s="1"/>
  <c r="Q14" i="5"/>
  <c r="Q13" i="5" s="1"/>
  <c r="M16" i="5"/>
  <c r="Q16" i="5"/>
  <c r="M17" i="5"/>
  <c r="Q17" i="5"/>
  <c r="M18" i="5"/>
  <c r="Q18" i="5"/>
  <c r="Q19" i="5"/>
  <c r="M20" i="5"/>
  <c r="Q20" i="5"/>
  <c r="Q21" i="5"/>
  <c r="Q22" i="5"/>
  <c r="Q23" i="5"/>
  <c r="Q24" i="5"/>
  <c r="Q25" i="5"/>
  <c r="Q32" i="5"/>
  <c r="M33" i="5"/>
  <c r="Q33" i="5"/>
  <c r="M34" i="5"/>
  <c r="Q34" i="5"/>
  <c r="M35" i="5"/>
  <c r="Q35" i="5"/>
  <c r="M36" i="5"/>
  <c r="Q36" i="5"/>
  <c r="M44" i="5"/>
  <c r="Q44" i="5"/>
  <c r="M45" i="5"/>
  <c r="Q45" i="5"/>
  <c r="M46" i="5"/>
  <c r="Q46" i="5"/>
  <c r="M48" i="5"/>
  <c r="Q48" i="5"/>
  <c r="M49" i="5"/>
  <c r="Q49" i="5"/>
  <c r="M12" i="5"/>
  <c r="M11" i="5" s="1"/>
  <c r="L14" i="5"/>
  <c r="N14" i="5"/>
  <c r="P14" i="5"/>
  <c r="L16" i="5"/>
  <c r="N16" i="5"/>
  <c r="P16" i="5"/>
  <c r="L17" i="5"/>
  <c r="N17" i="5"/>
  <c r="P17" i="5"/>
  <c r="L18" i="5"/>
  <c r="N18" i="5"/>
  <c r="P18" i="5"/>
  <c r="S18" i="5" s="1"/>
  <c r="L19" i="5"/>
  <c r="N19" i="5"/>
  <c r="P19" i="5"/>
  <c r="S19" i="5" s="1"/>
  <c r="L20" i="5"/>
  <c r="N20" i="5"/>
  <c r="P20" i="5"/>
  <c r="L21" i="5"/>
  <c r="N21" i="5"/>
  <c r="P21" i="5"/>
  <c r="L22" i="5"/>
  <c r="N22" i="5"/>
  <c r="P22" i="5"/>
  <c r="S22" i="5" s="1"/>
  <c r="L23" i="5"/>
  <c r="N23" i="5"/>
  <c r="P23" i="5"/>
  <c r="L24" i="5"/>
  <c r="N24" i="5"/>
  <c r="P24" i="5"/>
  <c r="L25" i="5"/>
  <c r="N25" i="5"/>
  <c r="P25" i="5"/>
  <c r="L26" i="5"/>
  <c r="N26" i="5"/>
  <c r="P26" i="5"/>
  <c r="L27" i="5"/>
  <c r="N27" i="5"/>
  <c r="P27" i="5"/>
  <c r="L28" i="5"/>
  <c r="N28" i="5"/>
  <c r="P28" i="5"/>
  <c r="L29" i="5"/>
  <c r="N29" i="5"/>
  <c r="P29" i="5"/>
  <c r="L30" i="5"/>
  <c r="N30" i="5"/>
  <c r="P30" i="5"/>
  <c r="L31" i="5"/>
  <c r="N31" i="5"/>
  <c r="P31" i="5"/>
  <c r="L32" i="5"/>
  <c r="N32" i="5"/>
  <c r="P32" i="5"/>
  <c r="L33" i="5"/>
  <c r="N33" i="5"/>
  <c r="P33" i="5"/>
  <c r="L34" i="5"/>
  <c r="N34" i="5"/>
  <c r="P34" i="5"/>
  <c r="S34" i="5" s="1"/>
  <c r="L35" i="5"/>
  <c r="N35" i="5"/>
  <c r="P35" i="5"/>
  <c r="L36" i="5"/>
  <c r="O36" i="5" s="1"/>
  <c r="N36" i="5"/>
  <c r="P36" i="5"/>
  <c r="L44" i="5"/>
  <c r="N44" i="5"/>
  <c r="P44" i="5"/>
  <c r="L45" i="5"/>
  <c r="N45" i="5"/>
  <c r="P45" i="5"/>
  <c r="S45" i="5" s="1"/>
  <c r="L46" i="5"/>
  <c r="N46" i="5"/>
  <c r="P46" i="5"/>
  <c r="L48" i="5"/>
  <c r="O48" i="5" s="1"/>
  <c r="N48" i="5"/>
  <c r="P48" i="5"/>
  <c r="S48" i="5" s="1"/>
  <c r="L49" i="5"/>
  <c r="N49" i="5"/>
  <c r="P49" i="5"/>
  <c r="L12" i="4"/>
  <c r="N12" i="4"/>
  <c r="N11" i="4" s="1"/>
  <c r="P12" i="4"/>
  <c r="R12" i="4"/>
  <c r="R11" i="4" s="1"/>
  <c r="M14" i="4"/>
  <c r="M13" i="4" s="1"/>
  <c r="Q14" i="4"/>
  <c r="Q13" i="4" s="1"/>
  <c r="M16" i="4"/>
  <c r="Q16" i="4"/>
  <c r="M17" i="4"/>
  <c r="Q17" i="4"/>
  <c r="M18" i="4"/>
  <c r="Q18" i="4"/>
  <c r="M19" i="4"/>
  <c r="Q19" i="4"/>
  <c r="M20" i="4"/>
  <c r="Q20" i="4"/>
  <c r="M21" i="4"/>
  <c r="Q21" i="4"/>
  <c r="M22" i="4"/>
  <c r="Q22" i="4"/>
  <c r="M23" i="4"/>
  <c r="Q23" i="4"/>
  <c r="M24" i="4"/>
  <c r="Q24" i="4"/>
  <c r="M25" i="4"/>
  <c r="Q25" i="4"/>
  <c r="M26" i="4"/>
  <c r="Q26" i="4"/>
  <c r="M27" i="4"/>
  <c r="Q27" i="4"/>
  <c r="M28" i="4"/>
  <c r="Q28" i="4"/>
  <c r="M29" i="4"/>
  <c r="Q29" i="4"/>
  <c r="M30" i="4"/>
  <c r="Q30" i="4"/>
  <c r="M31" i="4"/>
  <c r="Q31" i="4"/>
  <c r="M32" i="4"/>
  <c r="Q32" i="4"/>
  <c r="M33" i="4"/>
  <c r="Q33" i="4"/>
  <c r="M34" i="4"/>
  <c r="Q34" i="4"/>
  <c r="M35" i="4"/>
  <c r="Q35" i="4"/>
  <c r="M36" i="4"/>
  <c r="Q36" i="4"/>
  <c r="M44" i="4"/>
  <c r="Q44" i="4"/>
  <c r="M45" i="4"/>
  <c r="Q45" i="4"/>
  <c r="M46" i="4"/>
  <c r="Q46" i="4"/>
  <c r="M48" i="4"/>
  <c r="Q48" i="4"/>
  <c r="M49" i="4"/>
  <c r="Q49" i="4"/>
  <c r="M12" i="4"/>
  <c r="M11" i="4" s="1"/>
  <c r="L14" i="4"/>
  <c r="N14" i="4"/>
  <c r="N13" i="4" s="1"/>
  <c r="P14" i="4"/>
  <c r="L16" i="4"/>
  <c r="N16" i="4"/>
  <c r="P16" i="4"/>
  <c r="L17" i="4"/>
  <c r="N17" i="4"/>
  <c r="P17" i="4"/>
  <c r="L18" i="4"/>
  <c r="N18" i="4"/>
  <c r="P18" i="4"/>
  <c r="L19" i="4"/>
  <c r="N19" i="4"/>
  <c r="P19" i="4"/>
  <c r="S19" i="4" s="1"/>
  <c r="L20" i="4"/>
  <c r="N20" i="4"/>
  <c r="P20" i="4"/>
  <c r="S20" i="4" s="1"/>
  <c r="L21" i="4"/>
  <c r="N21" i="4"/>
  <c r="P21" i="4"/>
  <c r="L22" i="4"/>
  <c r="N22" i="4"/>
  <c r="P22" i="4"/>
  <c r="L23" i="4"/>
  <c r="N23" i="4"/>
  <c r="P23" i="4"/>
  <c r="S23" i="4" s="1"/>
  <c r="L24" i="4"/>
  <c r="N24" i="4"/>
  <c r="P24" i="4"/>
  <c r="S24" i="4" s="1"/>
  <c r="L25" i="4"/>
  <c r="N25" i="4"/>
  <c r="P25" i="4"/>
  <c r="L26" i="4"/>
  <c r="N26" i="4"/>
  <c r="P26" i="4"/>
  <c r="L27" i="4"/>
  <c r="N27" i="4"/>
  <c r="P27" i="4"/>
  <c r="S27" i="4" s="1"/>
  <c r="L28" i="4"/>
  <c r="N28" i="4"/>
  <c r="P28" i="4"/>
  <c r="S28" i="4" s="1"/>
  <c r="L29" i="4"/>
  <c r="N29" i="4"/>
  <c r="P29" i="4"/>
  <c r="L30" i="4"/>
  <c r="N30" i="4"/>
  <c r="P30" i="4"/>
  <c r="L31" i="4"/>
  <c r="N31" i="4"/>
  <c r="P31" i="4"/>
  <c r="S31" i="4" s="1"/>
  <c r="L32" i="4"/>
  <c r="N32" i="4"/>
  <c r="P32" i="4"/>
  <c r="S32" i="4" s="1"/>
  <c r="L33" i="4"/>
  <c r="N33" i="4"/>
  <c r="P33" i="4"/>
  <c r="L34" i="4"/>
  <c r="N34" i="4"/>
  <c r="P34" i="4"/>
  <c r="L35" i="4"/>
  <c r="N35" i="4"/>
  <c r="P35" i="4"/>
  <c r="S35" i="4" s="1"/>
  <c r="L36" i="4"/>
  <c r="N36" i="4"/>
  <c r="P36" i="4"/>
  <c r="S36" i="4" s="1"/>
  <c r="L44" i="4"/>
  <c r="N44" i="4"/>
  <c r="P44" i="4"/>
  <c r="L45" i="4"/>
  <c r="N45" i="4"/>
  <c r="P45" i="4"/>
  <c r="L46" i="4"/>
  <c r="N46" i="4"/>
  <c r="P46" i="4"/>
  <c r="S46" i="4" s="1"/>
  <c r="L48" i="4"/>
  <c r="N48" i="4"/>
  <c r="P48" i="4"/>
  <c r="S48" i="4" s="1"/>
  <c r="L49" i="4"/>
  <c r="N49" i="4"/>
  <c r="P49" i="4"/>
  <c r="L12" i="3"/>
  <c r="N12" i="3"/>
  <c r="N11" i="3" s="1"/>
  <c r="P12" i="3"/>
  <c r="R12" i="3"/>
  <c r="R11" i="3" s="1"/>
  <c r="M14" i="3"/>
  <c r="M13" i="3" s="1"/>
  <c r="Q14" i="3"/>
  <c r="Q13" i="3" s="1"/>
  <c r="V14" i="3"/>
  <c r="M16" i="3"/>
  <c r="Q16" i="3"/>
  <c r="V16" i="3"/>
  <c r="M17" i="3"/>
  <c r="Q17" i="3"/>
  <c r="V17" i="3"/>
  <c r="M18" i="3"/>
  <c r="Q18" i="3"/>
  <c r="V18" i="3"/>
  <c r="M19" i="3"/>
  <c r="Q19" i="3"/>
  <c r="V19" i="3"/>
  <c r="M20" i="3"/>
  <c r="Q20" i="3"/>
  <c r="V20" i="3"/>
  <c r="M21" i="3"/>
  <c r="Q21" i="3"/>
  <c r="V21" i="3"/>
  <c r="M22" i="3"/>
  <c r="Q22" i="3"/>
  <c r="V22" i="3"/>
  <c r="M23" i="3"/>
  <c r="Q23" i="3"/>
  <c r="V23" i="3"/>
  <c r="M24" i="3"/>
  <c r="Q24" i="3"/>
  <c r="V24" i="3"/>
  <c r="M25" i="3"/>
  <c r="Q25" i="3"/>
  <c r="V25" i="3"/>
  <c r="M26" i="3"/>
  <c r="Q26" i="3"/>
  <c r="V26" i="3"/>
  <c r="M27" i="3"/>
  <c r="Q27" i="3"/>
  <c r="V27" i="3"/>
  <c r="M28" i="3"/>
  <c r="Q28" i="3"/>
  <c r="V28" i="3"/>
  <c r="M29" i="3"/>
  <c r="Q29" i="3"/>
  <c r="V29" i="3"/>
  <c r="M30" i="3"/>
  <c r="Q30" i="3"/>
  <c r="V30" i="3"/>
  <c r="M31" i="3"/>
  <c r="Q31" i="3"/>
  <c r="V31" i="3"/>
  <c r="M32" i="3"/>
  <c r="Q32" i="3"/>
  <c r="V32" i="3"/>
  <c r="M33" i="3"/>
  <c r="Q33" i="3"/>
  <c r="V33" i="3"/>
  <c r="M34" i="3"/>
  <c r="Q34" i="3"/>
  <c r="V34" i="3"/>
  <c r="M35" i="3"/>
  <c r="Q35" i="3"/>
  <c r="V35" i="3"/>
  <c r="M36" i="3"/>
  <c r="Q36" i="3"/>
  <c r="V36" i="3"/>
  <c r="M44" i="3"/>
  <c r="Q44" i="3"/>
  <c r="V44" i="3"/>
  <c r="M45" i="3"/>
  <c r="Q45" i="3"/>
  <c r="V45" i="3"/>
  <c r="M46" i="3"/>
  <c r="Q46" i="3"/>
  <c r="V46" i="3"/>
  <c r="M48" i="3"/>
  <c r="Q48" i="3"/>
  <c r="V48" i="3"/>
  <c r="M49" i="3"/>
  <c r="Q49" i="3"/>
  <c r="V49" i="3"/>
  <c r="M12" i="3"/>
  <c r="M11" i="3" s="1"/>
  <c r="L14" i="3"/>
  <c r="N14" i="3"/>
  <c r="N13" i="3" s="1"/>
  <c r="P14" i="3"/>
  <c r="L16" i="3"/>
  <c r="N16" i="3"/>
  <c r="P16" i="3"/>
  <c r="L17" i="3"/>
  <c r="N17" i="3"/>
  <c r="P17" i="3"/>
  <c r="L18" i="3"/>
  <c r="N18" i="3"/>
  <c r="P18" i="3"/>
  <c r="L19" i="3"/>
  <c r="N19" i="3"/>
  <c r="P19" i="3"/>
  <c r="S19" i="3" s="1"/>
  <c r="L20" i="3"/>
  <c r="N20" i="3"/>
  <c r="P20" i="3"/>
  <c r="L22" i="3"/>
  <c r="N22" i="3"/>
  <c r="P22" i="3"/>
  <c r="L23" i="3"/>
  <c r="N23" i="3"/>
  <c r="P23" i="3"/>
  <c r="S23" i="3" s="1"/>
  <c r="L24" i="3"/>
  <c r="N24" i="3"/>
  <c r="P24" i="3"/>
  <c r="L25" i="3"/>
  <c r="N25" i="3"/>
  <c r="P25" i="3"/>
  <c r="L26" i="3"/>
  <c r="N26" i="3"/>
  <c r="P26" i="3"/>
  <c r="L27" i="3"/>
  <c r="N27" i="3"/>
  <c r="P27" i="3"/>
  <c r="S27" i="3" s="1"/>
  <c r="L28" i="3"/>
  <c r="N28" i="3"/>
  <c r="P28" i="3"/>
  <c r="L29" i="3"/>
  <c r="N29" i="3"/>
  <c r="P29" i="3"/>
  <c r="L30" i="3"/>
  <c r="N30" i="3"/>
  <c r="P30" i="3"/>
  <c r="L31" i="3"/>
  <c r="N31" i="3"/>
  <c r="P31" i="3"/>
  <c r="S31" i="3" s="1"/>
  <c r="L32" i="3"/>
  <c r="N32" i="3"/>
  <c r="P32" i="3"/>
  <c r="L33" i="3"/>
  <c r="N33" i="3"/>
  <c r="P33" i="3"/>
  <c r="L34" i="3"/>
  <c r="N34" i="3"/>
  <c r="P34" i="3"/>
  <c r="L35" i="3"/>
  <c r="N35" i="3"/>
  <c r="P35" i="3"/>
  <c r="S35" i="3" s="1"/>
  <c r="L36" i="3"/>
  <c r="N36" i="3"/>
  <c r="P36" i="3"/>
  <c r="L44" i="3"/>
  <c r="N44" i="3"/>
  <c r="P44" i="3"/>
  <c r="L45" i="3"/>
  <c r="N45" i="3"/>
  <c r="P45" i="3"/>
  <c r="L46" i="3"/>
  <c r="N46" i="3"/>
  <c r="P46" i="3"/>
  <c r="S46" i="3" s="1"/>
  <c r="L48" i="3"/>
  <c r="N48" i="3"/>
  <c r="P48" i="3"/>
  <c r="L49" i="3"/>
  <c r="N49" i="3"/>
  <c r="P49" i="3"/>
  <c r="L12" i="2"/>
  <c r="N12" i="2"/>
  <c r="N11" i="2" s="1"/>
  <c r="P12" i="2"/>
  <c r="R12" i="2"/>
  <c r="R11" i="2" s="1"/>
  <c r="M14" i="2"/>
  <c r="M13" i="2" s="1"/>
  <c r="Q14" i="2"/>
  <c r="Q13" i="2" s="1"/>
  <c r="V14" i="2"/>
  <c r="M16" i="2"/>
  <c r="Q16" i="2"/>
  <c r="V16" i="2"/>
  <c r="M17" i="2"/>
  <c r="Q17" i="2"/>
  <c r="V17" i="2"/>
  <c r="M18" i="2"/>
  <c r="Q18" i="2"/>
  <c r="V18" i="2"/>
  <c r="M19" i="2"/>
  <c r="Q19" i="2"/>
  <c r="V19" i="2"/>
  <c r="M20" i="2"/>
  <c r="Q20" i="2"/>
  <c r="V20" i="2"/>
  <c r="M21" i="2"/>
  <c r="Q21" i="2"/>
  <c r="V21" i="2"/>
  <c r="M22" i="2"/>
  <c r="Q22" i="2"/>
  <c r="V22" i="2"/>
  <c r="M23" i="2"/>
  <c r="Q23" i="2"/>
  <c r="V23" i="2"/>
  <c r="M24" i="2"/>
  <c r="Q24" i="2"/>
  <c r="V24" i="2"/>
  <c r="M25" i="2"/>
  <c r="Q25" i="2"/>
  <c r="V25" i="2"/>
  <c r="M26" i="2"/>
  <c r="Q26" i="2"/>
  <c r="V26" i="2"/>
  <c r="M27" i="2"/>
  <c r="Q27" i="2"/>
  <c r="V27" i="2"/>
  <c r="M28" i="2"/>
  <c r="Q28" i="2"/>
  <c r="V28" i="2"/>
  <c r="M29" i="2"/>
  <c r="Q29" i="2"/>
  <c r="V29" i="2"/>
  <c r="M30" i="2"/>
  <c r="Q30" i="2"/>
  <c r="V30" i="2"/>
  <c r="M31" i="2"/>
  <c r="Q31" i="2"/>
  <c r="V31" i="2"/>
  <c r="M32" i="2"/>
  <c r="Q32" i="2"/>
  <c r="V32" i="2"/>
  <c r="M33" i="2"/>
  <c r="Q33" i="2"/>
  <c r="V33" i="2"/>
  <c r="M34" i="2"/>
  <c r="Q34" i="2"/>
  <c r="V34" i="2"/>
  <c r="M35" i="2"/>
  <c r="Q35" i="2"/>
  <c r="V35" i="2"/>
  <c r="M36" i="2"/>
  <c r="Q36" i="2"/>
  <c r="V36" i="2"/>
  <c r="M44" i="2"/>
  <c r="Q44" i="2"/>
  <c r="V44" i="2"/>
  <c r="M45" i="2"/>
  <c r="Q45" i="2"/>
  <c r="V45" i="2"/>
  <c r="M46" i="2"/>
  <c r="Q46" i="2"/>
  <c r="V46" i="2"/>
  <c r="M47" i="2"/>
  <c r="Q47" i="2"/>
  <c r="V47" i="2"/>
  <c r="M48" i="2"/>
  <c r="Q48" i="2"/>
  <c r="V48" i="2"/>
  <c r="M49" i="2"/>
  <c r="Q49" i="2"/>
  <c r="V49" i="2"/>
  <c r="M12" i="2"/>
  <c r="M11" i="2" s="1"/>
  <c r="L14" i="2"/>
  <c r="N14" i="2"/>
  <c r="N13" i="2" s="1"/>
  <c r="P14" i="2"/>
  <c r="L16" i="2"/>
  <c r="N16" i="2"/>
  <c r="P16" i="2"/>
  <c r="L17" i="2"/>
  <c r="N17" i="2"/>
  <c r="P17" i="2"/>
  <c r="L18" i="2"/>
  <c r="N18" i="2"/>
  <c r="P18" i="2"/>
  <c r="L19" i="2"/>
  <c r="N19" i="2"/>
  <c r="P19" i="2"/>
  <c r="S19" i="2" s="1"/>
  <c r="L20" i="2"/>
  <c r="N20" i="2"/>
  <c r="P20" i="2"/>
  <c r="L22" i="2"/>
  <c r="N22" i="2"/>
  <c r="P22" i="2"/>
  <c r="L23" i="2"/>
  <c r="N23" i="2"/>
  <c r="P23" i="2"/>
  <c r="L24" i="2"/>
  <c r="N24" i="2"/>
  <c r="P24" i="2"/>
  <c r="L25" i="2"/>
  <c r="N25" i="2"/>
  <c r="P25" i="2"/>
  <c r="L26" i="2"/>
  <c r="N26" i="2"/>
  <c r="P26" i="2"/>
  <c r="L27" i="2"/>
  <c r="N27" i="2"/>
  <c r="P27" i="2"/>
  <c r="L28" i="2"/>
  <c r="N28" i="2"/>
  <c r="P28" i="2"/>
  <c r="L29" i="2"/>
  <c r="N29" i="2"/>
  <c r="P29" i="2"/>
  <c r="L30" i="2"/>
  <c r="N30" i="2"/>
  <c r="P30" i="2"/>
  <c r="L31" i="2"/>
  <c r="N31" i="2"/>
  <c r="P31" i="2"/>
  <c r="L32" i="2"/>
  <c r="N32" i="2"/>
  <c r="P32" i="2"/>
  <c r="L33" i="2"/>
  <c r="N33" i="2"/>
  <c r="P33" i="2"/>
  <c r="L34" i="2"/>
  <c r="N34" i="2"/>
  <c r="P34" i="2"/>
  <c r="L35" i="2"/>
  <c r="N35" i="2"/>
  <c r="P35" i="2"/>
  <c r="L36" i="2"/>
  <c r="N36" i="2"/>
  <c r="P36" i="2"/>
  <c r="L44" i="2"/>
  <c r="N44" i="2"/>
  <c r="P44" i="2"/>
  <c r="L45" i="2"/>
  <c r="N45" i="2"/>
  <c r="P45" i="2"/>
  <c r="L46" i="2"/>
  <c r="O46" i="2" s="1"/>
  <c r="T46" i="2" s="1"/>
  <c r="N46" i="2"/>
  <c r="P46" i="2"/>
  <c r="S46" i="2" s="1"/>
  <c r="L47" i="2"/>
  <c r="N47" i="2"/>
  <c r="P47" i="2"/>
  <c r="L48" i="2"/>
  <c r="N48" i="2"/>
  <c r="P48" i="2"/>
  <c r="L49" i="2"/>
  <c r="N49" i="2"/>
  <c r="P49" i="2"/>
  <c r="P36" i="1"/>
  <c r="U52" i="1"/>
  <c r="R36" i="1"/>
  <c r="N36" i="1"/>
  <c r="Q48" i="1"/>
  <c r="Q47" i="1"/>
  <c r="Q49" i="1"/>
  <c r="O36" i="1"/>
  <c r="T36" i="1" s="1"/>
  <c r="Q36" i="1"/>
  <c r="M16" i="1"/>
  <c r="M17" i="1"/>
  <c r="M18" i="1"/>
  <c r="M21" i="1"/>
  <c r="M22" i="1"/>
  <c r="M23" i="1"/>
  <c r="M24" i="1"/>
  <c r="M25" i="1"/>
  <c r="M26" i="1"/>
  <c r="M27" i="1"/>
  <c r="M35" i="1"/>
  <c r="E52" i="1"/>
  <c r="G52" i="1"/>
  <c r="Q16" i="1"/>
  <c r="Q17" i="1"/>
  <c r="Q18" i="1"/>
  <c r="Q21" i="1"/>
  <c r="Q22" i="1"/>
  <c r="Q23" i="1"/>
  <c r="Q24" i="1"/>
  <c r="Q25" i="1"/>
  <c r="Q26" i="1"/>
  <c r="Q27" i="1"/>
  <c r="Q35" i="1"/>
  <c r="M47" i="1"/>
  <c r="M48" i="1"/>
  <c r="M49" i="1"/>
  <c r="L12" i="1"/>
  <c r="N12" i="1"/>
  <c r="N11" i="1" s="1"/>
  <c r="P12" i="1"/>
  <c r="R12" i="1"/>
  <c r="R11" i="1" s="1"/>
  <c r="M14" i="1"/>
  <c r="M13" i="1" s="1"/>
  <c r="Q14" i="1"/>
  <c r="Q13" i="1" s="1"/>
  <c r="V17" i="1"/>
  <c r="V18" i="1"/>
  <c r="L19" i="1"/>
  <c r="N19" i="1"/>
  <c r="P19" i="1"/>
  <c r="R19" i="1"/>
  <c r="L20" i="1"/>
  <c r="N20" i="1"/>
  <c r="P20" i="1"/>
  <c r="R20" i="1"/>
  <c r="V21" i="1"/>
  <c r="V22" i="1"/>
  <c r="V23" i="1"/>
  <c r="V24" i="1"/>
  <c r="V25" i="1"/>
  <c r="V26" i="1"/>
  <c r="V27" i="1"/>
  <c r="L28" i="1"/>
  <c r="N28" i="1"/>
  <c r="P28" i="1"/>
  <c r="R28" i="1"/>
  <c r="L29" i="1"/>
  <c r="N29" i="1"/>
  <c r="P29" i="1"/>
  <c r="R29" i="1"/>
  <c r="L30" i="1"/>
  <c r="N30" i="1"/>
  <c r="P30" i="1"/>
  <c r="R30" i="1"/>
  <c r="L31" i="1"/>
  <c r="N31" i="1"/>
  <c r="P31" i="1"/>
  <c r="R31" i="1"/>
  <c r="L32" i="1"/>
  <c r="N32" i="1"/>
  <c r="P32" i="1"/>
  <c r="R32" i="1"/>
  <c r="L33" i="1"/>
  <c r="N33" i="1"/>
  <c r="P33" i="1"/>
  <c r="R33" i="1"/>
  <c r="L34" i="1"/>
  <c r="N34" i="1"/>
  <c r="P34" i="1"/>
  <c r="R34" i="1"/>
  <c r="V35" i="1"/>
  <c r="L44" i="1"/>
  <c r="N44" i="1"/>
  <c r="P44" i="1"/>
  <c r="R44" i="1"/>
  <c r="L45" i="1"/>
  <c r="N45" i="1"/>
  <c r="P45" i="1"/>
  <c r="R45" i="1"/>
  <c r="L46" i="1"/>
  <c r="N46" i="1"/>
  <c r="P46" i="1"/>
  <c r="R46" i="1"/>
  <c r="V47" i="1"/>
  <c r="V48" i="1"/>
  <c r="V49" i="1"/>
  <c r="M12" i="1"/>
  <c r="M11" i="1" s="1"/>
  <c r="L14" i="1"/>
  <c r="N14" i="1"/>
  <c r="N13" i="1" s="1"/>
  <c r="P14" i="1"/>
  <c r="P13" i="1" s="1"/>
  <c r="L16" i="1"/>
  <c r="N16" i="1"/>
  <c r="P16" i="1"/>
  <c r="L17" i="1"/>
  <c r="N17" i="1"/>
  <c r="P17" i="1"/>
  <c r="L18" i="1"/>
  <c r="N18" i="1"/>
  <c r="P18" i="1"/>
  <c r="M19" i="1"/>
  <c r="M20" i="1"/>
  <c r="L21" i="1"/>
  <c r="N21" i="1"/>
  <c r="P21" i="1"/>
  <c r="L22" i="1"/>
  <c r="N22" i="1"/>
  <c r="P22" i="1"/>
  <c r="L23" i="1"/>
  <c r="N23" i="1"/>
  <c r="P23" i="1"/>
  <c r="L24" i="1"/>
  <c r="N24" i="1"/>
  <c r="P24" i="1"/>
  <c r="L25" i="1"/>
  <c r="N25" i="1"/>
  <c r="P25" i="1"/>
  <c r="L26" i="1"/>
  <c r="N26" i="1"/>
  <c r="P26" i="1"/>
  <c r="L27" i="1"/>
  <c r="N27" i="1"/>
  <c r="P27" i="1"/>
  <c r="M28" i="1"/>
  <c r="M29" i="1"/>
  <c r="M30" i="1"/>
  <c r="M31" i="1"/>
  <c r="M32" i="1"/>
  <c r="M33" i="1"/>
  <c r="M34" i="1"/>
  <c r="L35" i="1"/>
  <c r="N35" i="1"/>
  <c r="P35" i="1"/>
  <c r="S35" i="1" s="1"/>
  <c r="D43" i="1"/>
  <c r="M44" i="1"/>
  <c r="M45" i="1"/>
  <c r="M46" i="1"/>
  <c r="L47" i="1"/>
  <c r="N47" i="1"/>
  <c r="P47" i="1"/>
  <c r="S47" i="1" s="1"/>
  <c r="L48" i="1"/>
  <c r="N48" i="1"/>
  <c r="P48" i="1"/>
  <c r="L49" i="1"/>
  <c r="N49" i="1"/>
  <c r="P49" i="1"/>
  <c r="M43" i="6" l="1"/>
  <c r="T48" i="5"/>
  <c r="Y48" i="5"/>
  <c r="Z48" i="5" s="1"/>
  <c r="P43" i="6"/>
  <c r="K52" i="1"/>
  <c r="O19" i="2"/>
  <c r="T19" i="2" s="1"/>
  <c r="N43" i="6"/>
  <c r="D52" i="4"/>
  <c r="L43" i="6"/>
  <c r="Q43" i="6"/>
  <c r="T50" i="4"/>
  <c r="P50" i="13"/>
  <c r="X50" i="13" s="1"/>
  <c r="R15" i="5"/>
  <c r="D52" i="5"/>
  <c r="O32" i="5"/>
  <c r="O28" i="5"/>
  <c r="O24" i="5"/>
  <c r="R52" i="2"/>
  <c r="D15" i="13"/>
  <c r="D52" i="1"/>
  <c r="S47" i="13"/>
  <c r="S27" i="13"/>
  <c r="S14" i="13"/>
  <c r="S48" i="13"/>
  <c r="S36" i="13"/>
  <c r="S32" i="13"/>
  <c r="S28" i="13"/>
  <c r="S24" i="13"/>
  <c r="S20" i="13"/>
  <c r="S16" i="13"/>
  <c r="S46" i="13"/>
  <c r="S31" i="13"/>
  <c r="S19" i="13"/>
  <c r="S49" i="13"/>
  <c r="S44" i="13"/>
  <c r="S33" i="13"/>
  <c r="S29" i="13"/>
  <c r="S25" i="13"/>
  <c r="S21" i="13"/>
  <c r="S17" i="13"/>
  <c r="S35" i="13"/>
  <c r="S23" i="13"/>
  <c r="S45" i="13"/>
  <c r="S34" i="13"/>
  <c r="S30" i="13"/>
  <c r="S26" i="13"/>
  <c r="S22" i="13"/>
  <c r="S18" i="13"/>
  <c r="R15" i="4"/>
  <c r="Q15" i="5"/>
  <c r="M15" i="5"/>
  <c r="P15" i="5"/>
  <c r="L15" i="5"/>
  <c r="S29" i="5"/>
  <c r="N15" i="5"/>
  <c r="P15" i="6"/>
  <c r="N15" i="6"/>
  <c r="L15" i="6"/>
  <c r="M15" i="6"/>
  <c r="M52" i="6" s="1"/>
  <c r="Q15" i="6"/>
  <c r="Q52" i="6" s="1"/>
  <c r="S28" i="6"/>
  <c r="S27" i="6"/>
  <c r="S23" i="6"/>
  <c r="D52" i="3"/>
  <c r="T36" i="5"/>
  <c r="Y36" i="5"/>
  <c r="Z36" i="5" s="1"/>
  <c r="T32" i="5"/>
  <c r="Y32" i="5"/>
  <c r="Z32" i="5" s="1"/>
  <c r="T28" i="5"/>
  <c r="Y28" i="5"/>
  <c r="Z28" i="5" s="1"/>
  <c r="T24" i="5"/>
  <c r="Y24" i="5"/>
  <c r="Z24" i="5" s="1"/>
  <c r="S31" i="5"/>
  <c r="S27" i="5"/>
  <c r="R52" i="5"/>
  <c r="P43" i="5"/>
  <c r="S17" i="5"/>
  <c r="N43" i="5"/>
  <c r="S30" i="5"/>
  <c r="S26" i="5"/>
  <c r="O20" i="5"/>
  <c r="N13" i="5"/>
  <c r="N52" i="5" s="1"/>
  <c r="M43" i="5"/>
  <c r="L43" i="5"/>
  <c r="S23" i="5"/>
  <c r="Q43" i="5"/>
  <c r="M52" i="5"/>
  <c r="S35" i="2"/>
  <c r="S27" i="2"/>
  <c r="S23" i="2"/>
  <c r="S31" i="2"/>
  <c r="O35" i="2"/>
  <c r="T35" i="2" s="1"/>
  <c r="O31" i="2"/>
  <c r="T31" i="2" s="1"/>
  <c r="O27" i="2"/>
  <c r="T27" i="2" s="1"/>
  <c r="O23" i="2"/>
  <c r="T23" i="2" s="1"/>
  <c r="S17" i="1"/>
  <c r="S24" i="6"/>
  <c r="S25" i="6"/>
  <c r="S21" i="6"/>
  <c r="S17" i="6"/>
  <c r="S36" i="5"/>
  <c r="S32" i="5"/>
  <c r="N43" i="4"/>
  <c r="M15" i="4"/>
  <c r="S25" i="1"/>
  <c r="S21" i="1"/>
  <c r="V43" i="1"/>
  <c r="S45" i="3"/>
  <c r="S34" i="3"/>
  <c r="S30" i="3"/>
  <c r="S26" i="3"/>
  <c r="S22" i="3"/>
  <c r="S18" i="3"/>
  <c r="L43" i="4"/>
  <c r="Q43" i="4"/>
  <c r="S46" i="5"/>
  <c r="S35" i="5"/>
  <c r="L15" i="4"/>
  <c r="S36" i="1"/>
  <c r="S33" i="2"/>
  <c r="S29" i="2"/>
  <c r="S17" i="2"/>
  <c r="O33" i="3"/>
  <c r="T33" i="3" s="1"/>
  <c r="O29" i="3"/>
  <c r="T29" i="3" s="1"/>
  <c r="O25" i="3"/>
  <c r="T25" i="3" s="1"/>
  <c r="O21" i="3"/>
  <c r="O17" i="3"/>
  <c r="T17" i="3" s="1"/>
  <c r="P15" i="4"/>
  <c r="M43" i="4"/>
  <c r="S28" i="5"/>
  <c r="R15" i="1"/>
  <c r="S48" i="2"/>
  <c r="S25" i="2"/>
  <c r="S21" i="2"/>
  <c r="S48" i="1"/>
  <c r="S27" i="1"/>
  <c r="S23" i="1"/>
  <c r="S49" i="2"/>
  <c r="S45" i="2"/>
  <c r="S34" i="2"/>
  <c r="S30" i="2"/>
  <c r="S26" i="2"/>
  <c r="S22" i="2"/>
  <c r="S18" i="2"/>
  <c r="S48" i="3"/>
  <c r="S36" i="3"/>
  <c r="S32" i="3"/>
  <c r="S28" i="3"/>
  <c r="S24" i="3"/>
  <c r="S20" i="3"/>
  <c r="R52" i="3"/>
  <c r="S49" i="4"/>
  <c r="O46" i="4"/>
  <c r="P43" i="4"/>
  <c r="O35" i="4"/>
  <c r="S33" i="4"/>
  <c r="O31" i="4"/>
  <c r="S29" i="4"/>
  <c r="O27" i="4"/>
  <c r="S25" i="4"/>
  <c r="O23" i="4"/>
  <c r="S21" i="4"/>
  <c r="O19" i="4"/>
  <c r="S17" i="4"/>
  <c r="N15" i="4"/>
  <c r="N52" i="4" s="1"/>
  <c r="Q15" i="4"/>
  <c r="S49" i="5"/>
  <c r="S33" i="5"/>
  <c r="S25" i="5"/>
  <c r="S21" i="5"/>
  <c r="S49" i="6"/>
  <c r="O46" i="6"/>
  <c r="O35" i="6"/>
  <c r="S33" i="6"/>
  <c r="O31" i="6"/>
  <c r="S29" i="6"/>
  <c r="O27" i="6"/>
  <c r="O23" i="6"/>
  <c r="O19" i="6"/>
  <c r="R52" i="4"/>
  <c r="L15" i="1"/>
  <c r="N15" i="2"/>
  <c r="V43" i="3"/>
  <c r="Y29" i="3"/>
  <c r="Z29" i="3" s="1"/>
  <c r="Q15" i="3"/>
  <c r="S12" i="6"/>
  <c r="S11" i="6" s="1"/>
  <c r="P11" i="6"/>
  <c r="V13" i="1"/>
  <c r="Q15" i="1"/>
  <c r="L15" i="2"/>
  <c r="Q15" i="2"/>
  <c r="P15" i="3"/>
  <c r="M15" i="3"/>
  <c r="P15" i="1"/>
  <c r="M15" i="1"/>
  <c r="O48" i="2"/>
  <c r="T48" i="2" s="1"/>
  <c r="O33" i="2"/>
  <c r="T33" i="2" s="1"/>
  <c r="O29" i="2"/>
  <c r="T29" i="2" s="1"/>
  <c r="O25" i="2"/>
  <c r="T25" i="2" s="1"/>
  <c r="O21" i="2"/>
  <c r="T21" i="2" s="1"/>
  <c r="O17" i="2"/>
  <c r="T17" i="2" s="1"/>
  <c r="M15" i="2"/>
  <c r="S49" i="3"/>
  <c r="O46" i="3"/>
  <c r="T46" i="3" s="1"/>
  <c r="O35" i="3"/>
  <c r="T35" i="3" s="1"/>
  <c r="S33" i="3"/>
  <c r="O31" i="3"/>
  <c r="T31" i="3" s="1"/>
  <c r="S29" i="3"/>
  <c r="O27" i="3"/>
  <c r="T27" i="3" s="1"/>
  <c r="S25" i="3"/>
  <c r="O23" i="3"/>
  <c r="T23" i="3" s="1"/>
  <c r="S21" i="3"/>
  <c r="O19" i="3"/>
  <c r="T19" i="3" s="1"/>
  <c r="S17" i="3"/>
  <c r="N15" i="3"/>
  <c r="Y46" i="3"/>
  <c r="Z46" i="3" s="1"/>
  <c r="Y35" i="3"/>
  <c r="Z35" i="3" s="1"/>
  <c r="Y19" i="3"/>
  <c r="Z19" i="3" s="1"/>
  <c r="V13" i="3"/>
  <c r="S45" i="4"/>
  <c r="S34" i="4"/>
  <c r="S30" i="4"/>
  <c r="S26" i="4"/>
  <c r="S22" i="4"/>
  <c r="S18" i="4"/>
  <c r="O49" i="6"/>
  <c r="O33" i="6"/>
  <c r="O29" i="6"/>
  <c r="O25" i="6"/>
  <c r="O21" i="6"/>
  <c r="O17" i="6"/>
  <c r="Y36" i="1"/>
  <c r="Z36" i="1" s="1"/>
  <c r="N15" i="1"/>
  <c r="S47" i="2"/>
  <c r="S36" i="2"/>
  <c r="S32" i="2"/>
  <c r="S28" i="2"/>
  <c r="S24" i="2"/>
  <c r="S20" i="2"/>
  <c r="P15" i="2"/>
  <c r="Y46" i="2"/>
  <c r="Z46" i="2" s="1"/>
  <c r="Y19" i="2"/>
  <c r="Z19" i="2" s="1"/>
  <c r="V13" i="2"/>
  <c r="O48" i="3"/>
  <c r="T48" i="3" s="1"/>
  <c r="N43" i="3"/>
  <c r="L15" i="3"/>
  <c r="O49" i="4"/>
  <c r="O33" i="4"/>
  <c r="O29" i="4"/>
  <c r="O25" i="4"/>
  <c r="O21" i="4"/>
  <c r="O17" i="4"/>
  <c r="O45" i="5"/>
  <c r="O34" i="5"/>
  <c r="O30" i="5"/>
  <c r="O26" i="5"/>
  <c r="S24" i="5"/>
  <c r="O22" i="5"/>
  <c r="S20" i="5"/>
  <c r="O18" i="5"/>
  <c r="S48" i="6"/>
  <c r="S36" i="6"/>
  <c r="S32" i="6"/>
  <c r="V15" i="1"/>
  <c r="V15" i="3"/>
  <c r="V43" i="2"/>
  <c r="V15" i="2"/>
  <c r="S44" i="6"/>
  <c r="S43" i="6" s="1"/>
  <c r="O44" i="6"/>
  <c r="O12" i="6"/>
  <c r="O11" i="6" s="1"/>
  <c r="S16" i="6"/>
  <c r="O16" i="6"/>
  <c r="S14" i="6"/>
  <c r="S13" i="6" s="1"/>
  <c r="P13" i="6"/>
  <c r="P52" i="6" s="1"/>
  <c r="O14" i="6"/>
  <c r="Y14" i="6" s="1"/>
  <c r="L13" i="6"/>
  <c r="O48" i="6"/>
  <c r="O45" i="6"/>
  <c r="O36" i="6"/>
  <c r="O34" i="6"/>
  <c r="O32" i="6"/>
  <c r="O30" i="6"/>
  <c r="O28" i="6"/>
  <c r="O26" i="6"/>
  <c r="O24" i="6"/>
  <c r="O22" i="6"/>
  <c r="O20" i="6"/>
  <c r="O18" i="6"/>
  <c r="S16" i="5"/>
  <c r="O16" i="5"/>
  <c r="S12" i="5"/>
  <c r="S11" i="5" s="1"/>
  <c r="P11" i="5"/>
  <c r="O12" i="5"/>
  <c r="O11" i="5" s="1"/>
  <c r="L11" i="5"/>
  <c r="S44" i="5"/>
  <c r="S43" i="5" s="1"/>
  <c r="O44" i="5"/>
  <c r="Y44" i="5" s="1"/>
  <c r="S14" i="5"/>
  <c r="S13" i="5" s="1"/>
  <c r="P13" i="5"/>
  <c r="O14" i="5"/>
  <c r="L13" i="5"/>
  <c r="O49" i="5"/>
  <c r="O46" i="5"/>
  <c r="O35" i="5"/>
  <c r="O33" i="5"/>
  <c r="O31" i="5"/>
  <c r="O29" i="5"/>
  <c r="O27" i="5"/>
  <c r="O25" i="5"/>
  <c r="O23" i="5"/>
  <c r="O21" i="5"/>
  <c r="O19" i="5"/>
  <c r="O17" i="5"/>
  <c r="S44" i="4"/>
  <c r="S43" i="4" s="1"/>
  <c r="O44" i="4"/>
  <c r="S14" i="4"/>
  <c r="S13" i="4" s="1"/>
  <c r="P13" i="4"/>
  <c r="O14" i="4"/>
  <c r="L13" i="4"/>
  <c r="S12" i="4"/>
  <c r="S11" i="4" s="1"/>
  <c r="P11" i="4"/>
  <c r="O12" i="4"/>
  <c r="O11" i="4" s="1"/>
  <c r="L11" i="4"/>
  <c r="Q52" i="4"/>
  <c r="S16" i="4"/>
  <c r="O16" i="4"/>
  <c r="O48" i="4"/>
  <c r="O45" i="4"/>
  <c r="O36" i="4"/>
  <c r="O34" i="4"/>
  <c r="O32" i="4"/>
  <c r="O30" i="4"/>
  <c r="O28" i="4"/>
  <c r="O26" i="4"/>
  <c r="O24" i="4"/>
  <c r="O22" i="4"/>
  <c r="O20" i="4"/>
  <c r="O18" i="4"/>
  <c r="S44" i="3"/>
  <c r="S43" i="3" s="1"/>
  <c r="P43" i="3"/>
  <c r="O44" i="3"/>
  <c r="L43" i="3"/>
  <c r="S14" i="3"/>
  <c r="S13" i="3" s="1"/>
  <c r="P13" i="3"/>
  <c r="O14" i="3"/>
  <c r="Y14" i="3" s="1"/>
  <c r="L13" i="3"/>
  <c r="Q43" i="3"/>
  <c r="Q52" i="3" s="1"/>
  <c r="S16" i="3"/>
  <c r="O16" i="3"/>
  <c r="S12" i="3"/>
  <c r="S11" i="3" s="1"/>
  <c r="P11" i="3"/>
  <c r="O12" i="3"/>
  <c r="O11" i="3" s="1"/>
  <c r="L11" i="3"/>
  <c r="O49" i="3"/>
  <c r="T49" i="3" s="1"/>
  <c r="O45" i="3"/>
  <c r="T45" i="3" s="1"/>
  <c r="O36" i="3"/>
  <c r="T36" i="3" s="1"/>
  <c r="O34" i="3"/>
  <c r="T34" i="3" s="1"/>
  <c r="O32" i="3"/>
  <c r="T32" i="3" s="1"/>
  <c r="O30" i="3"/>
  <c r="T30" i="3" s="1"/>
  <c r="O28" i="3"/>
  <c r="T28" i="3" s="1"/>
  <c r="O26" i="3"/>
  <c r="T26" i="3" s="1"/>
  <c r="O24" i="3"/>
  <c r="T24" i="3" s="1"/>
  <c r="O22" i="3"/>
  <c r="T22" i="3" s="1"/>
  <c r="O20" i="3"/>
  <c r="T20" i="3" s="1"/>
  <c r="O18" i="3"/>
  <c r="T18" i="3" s="1"/>
  <c r="M43" i="3"/>
  <c r="S44" i="2"/>
  <c r="S43" i="2" s="1"/>
  <c r="P43" i="2"/>
  <c r="O44" i="2"/>
  <c r="L43" i="2"/>
  <c r="S14" i="2"/>
  <c r="S13" i="2" s="1"/>
  <c r="P13" i="2"/>
  <c r="O14" i="2"/>
  <c r="Y14" i="2" s="1"/>
  <c r="L13" i="2"/>
  <c r="Q43" i="2"/>
  <c r="S16" i="2"/>
  <c r="O16" i="2"/>
  <c r="S12" i="2"/>
  <c r="P11" i="2"/>
  <c r="O12" i="2"/>
  <c r="O11" i="2" s="1"/>
  <c r="L11" i="2"/>
  <c r="O49" i="2"/>
  <c r="T49" i="2" s="1"/>
  <c r="O47" i="2"/>
  <c r="T47" i="2" s="1"/>
  <c r="O45" i="2"/>
  <c r="T45" i="2" s="1"/>
  <c r="N43" i="2"/>
  <c r="O36" i="2"/>
  <c r="T36" i="2" s="1"/>
  <c r="O34" i="2"/>
  <c r="T34" i="2" s="1"/>
  <c r="O32" i="2"/>
  <c r="T32" i="2" s="1"/>
  <c r="O30" i="2"/>
  <c r="T30" i="2" s="1"/>
  <c r="O28" i="2"/>
  <c r="T28" i="2" s="1"/>
  <c r="O26" i="2"/>
  <c r="T26" i="2" s="1"/>
  <c r="O24" i="2"/>
  <c r="T24" i="2" s="1"/>
  <c r="O22" i="2"/>
  <c r="T22" i="2" s="1"/>
  <c r="O20" i="2"/>
  <c r="T20" i="2" s="1"/>
  <c r="O18" i="2"/>
  <c r="T18" i="2" s="1"/>
  <c r="M43" i="2"/>
  <c r="S49" i="1"/>
  <c r="S26" i="1"/>
  <c r="O26" i="1"/>
  <c r="T26" i="1" s="1"/>
  <c r="S24" i="1"/>
  <c r="O24" i="1"/>
  <c r="T24" i="1" s="1"/>
  <c r="S22" i="1"/>
  <c r="O22" i="1"/>
  <c r="T22" i="1" s="1"/>
  <c r="S18" i="1"/>
  <c r="Q43" i="1"/>
  <c r="O48" i="1"/>
  <c r="O18" i="1"/>
  <c r="T18" i="1" s="1"/>
  <c r="S34" i="1"/>
  <c r="S33" i="1"/>
  <c r="S32" i="1"/>
  <c r="S31" i="1"/>
  <c r="S30" i="1"/>
  <c r="S29" i="1"/>
  <c r="S28" i="1"/>
  <c r="S16" i="1"/>
  <c r="O16" i="1"/>
  <c r="Y16" i="1" s="1"/>
  <c r="R43" i="1"/>
  <c r="R52" i="1" s="1"/>
  <c r="N43" i="1"/>
  <c r="O34" i="1"/>
  <c r="O33" i="1"/>
  <c r="O32" i="1"/>
  <c r="O31" i="1"/>
  <c r="O30" i="1"/>
  <c r="O29" i="1"/>
  <c r="O28" i="1"/>
  <c r="S14" i="1"/>
  <c r="S13" i="1" s="1"/>
  <c r="O14" i="1"/>
  <c r="L13" i="1"/>
  <c r="S44" i="1"/>
  <c r="P43" i="1"/>
  <c r="O44" i="1"/>
  <c r="L43" i="1"/>
  <c r="S12" i="1"/>
  <c r="S11" i="1" s="1"/>
  <c r="P11" i="1"/>
  <c r="O12" i="1"/>
  <c r="L11" i="1"/>
  <c r="O49" i="1"/>
  <c r="O47" i="1"/>
  <c r="M43" i="1"/>
  <c r="O35" i="1"/>
  <c r="T35" i="1" s="1"/>
  <c r="O27" i="1"/>
  <c r="T27" i="1" s="1"/>
  <c r="O25" i="1"/>
  <c r="T25" i="1" s="1"/>
  <c r="O23" i="1"/>
  <c r="T23" i="1" s="1"/>
  <c r="O21" i="1"/>
  <c r="T21" i="1" s="1"/>
  <c r="O17" i="1"/>
  <c r="T17" i="1" s="1"/>
  <c r="S46" i="1"/>
  <c r="O46" i="1"/>
  <c r="P46" i="13" s="1"/>
  <c r="S45" i="1"/>
  <c r="O45" i="1"/>
  <c r="P45" i="13" s="1"/>
  <c r="S20" i="1"/>
  <c r="O20" i="1"/>
  <c r="S19" i="1"/>
  <c r="O19" i="1"/>
  <c r="D46" i="14"/>
  <c r="E46" i="14"/>
  <c r="J46" i="14"/>
  <c r="K46" i="14"/>
  <c r="L46" i="14"/>
  <c r="M46" i="14"/>
  <c r="N46" i="14"/>
  <c r="O46" i="14"/>
  <c r="D47" i="14"/>
  <c r="E47" i="14"/>
  <c r="F47" i="14"/>
  <c r="G47" i="14"/>
  <c r="H47" i="14"/>
  <c r="D48" i="14"/>
  <c r="E48" i="14"/>
  <c r="F48" i="14"/>
  <c r="I48" i="14"/>
  <c r="J48" i="14"/>
  <c r="K48" i="14"/>
  <c r="L48" i="14"/>
  <c r="E49" i="14"/>
  <c r="F49" i="14"/>
  <c r="G49" i="14"/>
  <c r="H49" i="14"/>
  <c r="I49" i="14"/>
  <c r="J49" i="14"/>
  <c r="K49" i="14"/>
  <c r="L49" i="14"/>
  <c r="M49" i="14"/>
  <c r="O41" i="14"/>
  <c r="N41" i="14"/>
  <c r="M41" i="14"/>
  <c r="L41" i="14"/>
  <c r="K41" i="14"/>
  <c r="J41" i="14"/>
  <c r="I41" i="14"/>
  <c r="H41" i="14"/>
  <c r="G41" i="14"/>
  <c r="F41" i="14"/>
  <c r="E41" i="14"/>
  <c r="F19" i="14"/>
  <c r="G19" i="14"/>
  <c r="I19" i="14"/>
  <c r="J19" i="14"/>
  <c r="K19" i="14"/>
  <c r="L19" i="14"/>
  <c r="M19" i="14"/>
  <c r="N19" i="14"/>
  <c r="O19" i="14"/>
  <c r="J22" i="14"/>
  <c r="K22" i="14"/>
  <c r="L22" i="14"/>
  <c r="M22" i="14"/>
  <c r="N22" i="14"/>
  <c r="O22" i="14"/>
  <c r="J30" i="14"/>
  <c r="K30" i="14"/>
  <c r="L30" i="14"/>
  <c r="M30" i="14"/>
  <c r="N30" i="14"/>
  <c r="O30" i="14"/>
  <c r="D38" i="14"/>
  <c r="E38" i="14"/>
  <c r="G38" i="14"/>
  <c r="H38" i="14"/>
  <c r="I38" i="14"/>
  <c r="L38" i="14"/>
  <c r="M38" i="14"/>
  <c r="N38" i="14"/>
  <c r="O38" i="14"/>
  <c r="D39" i="14"/>
  <c r="E39" i="14"/>
  <c r="G39" i="14"/>
  <c r="H39" i="14"/>
  <c r="I39" i="14"/>
  <c r="J39" i="14"/>
  <c r="K39" i="14"/>
  <c r="L39" i="14"/>
  <c r="T14" i="5" l="1"/>
  <c r="Y14" i="5"/>
  <c r="T20" i="6"/>
  <c r="Y20" i="6"/>
  <c r="Z20" i="6" s="1"/>
  <c r="Y13" i="6"/>
  <c r="Z14" i="6"/>
  <c r="Z13" i="6" s="1"/>
  <c r="T19" i="6"/>
  <c r="Y19" i="6"/>
  <c r="Z19" i="6" s="1"/>
  <c r="O11" i="1"/>
  <c r="P12" i="13"/>
  <c r="Y44" i="1"/>
  <c r="Z44" i="1" s="1"/>
  <c r="P44" i="13"/>
  <c r="Y14" i="1"/>
  <c r="P14" i="13"/>
  <c r="O43" i="4"/>
  <c r="T46" i="5"/>
  <c r="Y46" i="5"/>
  <c r="Z46" i="5" s="1"/>
  <c r="T45" i="6"/>
  <c r="Y45" i="6"/>
  <c r="Z45" i="6" s="1"/>
  <c r="T49" i="6"/>
  <c r="Y49" i="6"/>
  <c r="Z49" i="6" s="1"/>
  <c r="X45" i="13"/>
  <c r="X44" i="13"/>
  <c r="X46" i="13"/>
  <c r="X14" i="13"/>
  <c r="X13" i="13" s="1"/>
  <c r="T47" i="1"/>
  <c r="P47" i="13"/>
  <c r="X47" i="13" s="1"/>
  <c r="T48" i="1"/>
  <c r="P48" i="13"/>
  <c r="X48" i="13" s="1"/>
  <c r="T14" i="4"/>
  <c r="Y14" i="4"/>
  <c r="V14" i="13" s="1"/>
  <c r="V13" i="13" s="1"/>
  <c r="T49" i="5"/>
  <c r="Y49" i="5"/>
  <c r="Z49" i="5" s="1"/>
  <c r="T48" i="6"/>
  <c r="Y48" i="6"/>
  <c r="Z48" i="6" s="1"/>
  <c r="O43" i="6"/>
  <c r="Y44" i="6"/>
  <c r="T45" i="5"/>
  <c r="Y45" i="5"/>
  <c r="Z45" i="5" s="1"/>
  <c r="N52" i="1"/>
  <c r="T49" i="1"/>
  <c r="P49" i="13"/>
  <c r="P43" i="13" s="1"/>
  <c r="Z44" i="5"/>
  <c r="T46" i="6"/>
  <c r="Y46" i="6"/>
  <c r="Z46" i="6" s="1"/>
  <c r="L52" i="6"/>
  <c r="S56" i="4"/>
  <c r="G48" i="14" s="1"/>
  <c r="Q52" i="1"/>
  <c r="D36" i="14"/>
  <c r="S13" i="13"/>
  <c r="S15" i="13"/>
  <c r="Y35" i="2"/>
  <c r="Z35" i="2" s="1"/>
  <c r="S43" i="13"/>
  <c r="M52" i="3"/>
  <c r="O15" i="5"/>
  <c r="T19" i="5"/>
  <c r="P19" i="13"/>
  <c r="X19" i="13" s="1"/>
  <c r="Y19" i="5"/>
  <c r="S15" i="5"/>
  <c r="S52" i="5" s="1"/>
  <c r="H19" i="14"/>
  <c r="T20" i="5"/>
  <c r="P20" i="13"/>
  <c r="X20" i="13" s="1"/>
  <c r="Y20" i="5"/>
  <c r="T26" i="6"/>
  <c r="Y26" i="6"/>
  <c r="P26" i="13"/>
  <c r="X26" i="13" s="1"/>
  <c r="T34" i="6"/>
  <c r="Y34" i="6"/>
  <c r="P34" i="13"/>
  <c r="X34" i="13" s="1"/>
  <c r="O15" i="6"/>
  <c r="Y16" i="6"/>
  <c r="P16" i="13"/>
  <c r="T35" i="6"/>
  <c r="Y35" i="6"/>
  <c r="P35" i="13"/>
  <c r="X35" i="13" s="1"/>
  <c r="T28" i="6"/>
  <c r="Y28" i="6"/>
  <c r="P28" i="13"/>
  <c r="X28" i="13" s="1"/>
  <c r="T36" i="6"/>
  <c r="Y36" i="6"/>
  <c r="P36" i="13"/>
  <c r="X36" i="13" s="1"/>
  <c r="T29" i="6"/>
  <c r="Y29" i="6"/>
  <c r="P29" i="13"/>
  <c r="X29" i="13" s="1"/>
  <c r="T22" i="6"/>
  <c r="Y22" i="6"/>
  <c r="P22" i="13"/>
  <c r="X22" i="13" s="1"/>
  <c r="T30" i="6"/>
  <c r="Y30" i="6"/>
  <c r="P30" i="13"/>
  <c r="X30" i="13" s="1"/>
  <c r="T17" i="6"/>
  <c r="Y17" i="6"/>
  <c r="P17" i="13"/>
  <c r="T33" i="6"/>
  <c r="Y33" i="6"/>
  <c r="P33" i="13"/>
  <c r="X33" i="13" s="1"/>
  <c r="T31" i="6"/>
  <c r="Y31" i="6"/>
  <c r="P31" i="13"/>
  <c r="X31" i="13" s="1"/>
  <c r="T18" i="6"/>
  <c r="Y18" i="6"/>
  <c r="P18" i="13"/>
  <c r="X18" i="13" s="1"/>
  <c r="T25" i="6"/>
  <c r="Y25" i="6"/>
  <c r="P25" i="13"/>
  <c r="X25" i="13" s="1"/>
  <c r="T27" i="6"/>
  <c r="Y27" i="6"/>
  <c r="P27" i="13"/>
  <c r="X27" i="13" s="1"/>
  <c r="S15" i="6"/>
  <c r="T24" i="6"/>
  <c r="Y24" i="6"/>
  <c r="P24" i="13"/>
  <c r="X24" i="13" s="1"/>
  <c r="T32" i="6"/>
  <c r="Y32" i="6"/>
  <c r="P32" i="13"/>
  <c r="X32" i="13" s="1"/>
  <c r="T21" i="6"/>
  <c r="Y21" i="6"/>
  <c r="P21" i="13"/>
  <c r="X21" i="13" s="1"/>
  <c r="T23" i="6"/>
  <c r="Y23" i="6"/>
  <c r="P23" i="13"/>
  <c r="X23" i="13" s="1"/>
  <c r="Y25" i="3"/>
  <c r="Z25" i="3" s="1"/>
  <c r="D37" i="14"/>
  <c r="T29" i="5"/>
  <c r="Y29" i="5"/>
  <c r="Z29" i="5" s="1"/>
  <c r="T30" i="5"/>
  <c r="Y30" i="5"/>
  <c r="Z30" i="5" s="1"/>
  <c r="T23" i="5"/>
  <c r="Y23" i="5"/>
  <c r="Z23" i="5" s="1"/>
  <c r="T22" i="5"/>
  <c r="Y22" i="5"/>
  <c r="Z22" i="5" s="1"/>
  <c r="T34" i="5"/>
  <c r="Y34" i="5"/>
  <c r="Z34" i="5" s="1"/>
  <c r="T17" i="5"/>
  <c r="Y17" i="5"/>
  <c r="Z17" i="5" s="1"/>
  <c r="T25" i="5"/>
  <c r="Y25" i="5"/>
  <c r="Z25" i="5" s="1"/>
  <c r="T33" i="5"/>
  <c r="Y33" i="5"/>
  <c r="Z33" i="5" s="1"/>
  <c r="T21" i="5"/>
  <c r="Y21" i="5"/>
  <c r="Z21" i="5" s="1"/>
  <c r="Y16" i="5"/>
  <c r="T16" i="5"/>
  <c r="T31" i="5"/>
  <c r="Y31" i="5"/>
  <c r="Z31" i="5" s="1"/>
  <c r="T27" i="5"/>
  <c r="Y27" i="5"/>
  <c r="Z27" i="5" s="1"/>
  <c r="T35" i="5"/>
  <c r="Y35" i="5"/>
  <c r="Z35" i="5" s="1"/>
  <c r="T18" i="5"/>
  <c r="Y18" i="5"/>
  <c r="Z18" i="5" s="1"/>
  <c r="T26" i="5"/>
  <c r="Y26" i="5"/>
  <c r="Z26" i="5" s="1"/>
  <c r="Q52" i="5"/>
  <c r="R56" i="5" s="1"/>
  <c r="R58" i="5" s="1"/>
  <c r="O43" i="5"/>
  <c r="H30" i="14"/>
  <c r="L52" i="5"/>
  <c r="P52" i="5"/>
  <c r="F38" i="14"/>
  <c r="Y44" i="3"/>
  <c r="O43" i="3"/>
  <c r="F37" i="14" s="1"/>
  <c r="Y17" i="3"/>
  <c r="Z17" i="3" s="1"/>
  <c r="F39" i="14"/>
  <c r="Y27" i="3"/>
  <c r="Z27" i="3" s="1"/>
  <c r="V52" i="3"/>
  <c r="M56" i="3"/>
  <c r="Y36" i="3"/>
  <c r="Z36" i="3" s="1"/>
  <c r="S15" i="3"/>
  <c r="S52" i="3" s="1"/>
  <c r="Y33" i="3"/>
  <c r="Z33" i="3" s="1"/>
  <c r="Y27" i="2"/>
  <c r="Z27" i="2" s="1"/>
  <c r="M52" i="2"/>
  <c r="Y29" i="2"/>
  <c r="Z29" i="2" s="1"/>
  <c r="Q52" i="2"/>
  <c r="Y23" i="2"/>
  <c r="Z23" i="2" s="1"/>
  <c r="Y31" i="2"/>
  <c r="Z31" i="2" s="1"/>
  <c r="I30" i="14"/>
  <c r="T21" i="3"/>
  <c r="O15" i="3"/>
  <c r="P52" i="2"/>
  <c r="N52" i="3"/>
  <c r="N56" i="3" s="1"/>
  <c r="T18" i="4"/>
  <c r="Y18" i="4"/>
  <c r="Z18" i="4" s="1"/>
  <c r="T26" i="4"/>
  <c r="Y26" i="4"/>
  <c r="Z26" i="4" s="1"/>
  <c r="T34" i="4"/>
  <c r="Y34" i="4"/>
  <c r="Z34" i="4" s="1"/>
  <c r="O15" i="4"/>
  <c r="T16" i="4"/>
  <c r="Y16" i="4"/>
  <c r="T29" i="4"/>
  <c r="Y29" i="4"/>
  <c r="Z29" i="4" s="1"/>
  <c r="T23" i="4"/>
  <c r="Y23" i="4"/>
  <c r="Z23" i="4" s="1"/>
  <c r="T31" i="4"/>
  <c r="Y31" i="4"/>
  <c r="Z31" i="4" s="1"/>
  <c r="T46" i="4"/>
  <c r="Y46" i="4"/>
  <c r="T20" i="4"/>
  <c r="Y20" i="4"/>
  <c r="Z20" i="4" s="1"/>
  <c r="T28" i="4"/>
  <c r="Y28" i="4"/>
  <c r="Z28" i="4" s="1"/>
  <c r="T36" i="4"/>
  <c r="Y36" i="4"/>
  <c r="Z36" i="4" s="1"/>
  <c r="S15" i="4"/>
  <c r="T17" i="4"/>
  <c r="Y17" i="4"/>
  <c r="Z17" i="4" s="1"/>
  <c r="T33" i="4"/>
  <c r="Y33" i="4"/>
  <c r="Z33" i="4" s="1"/>
  <c r="Y31" i="3"/>
  <c r="Z31" i="3" s="1"/>
  <c r="N52" i="2"/>
  <c r="S56" i="1" s="1"/>
  <c r="L52" i="2"/>
  <c r="Y44" i="2"/>
  <c r="Z44" i="2" s="1"/>
  <c r="T44" i="2"/>
  <c r="T43" i="2" s="1"/>
  <c r="T22" i="4"/>
  <c r="Y22" i="4"/>
  <c r="Z22" i="4" s="1"/>
  <c r="T30" i="4"/>
  <c r="Y30" i="4"/>
  <c r="Z30" i="4" s="1"/>
  <c r="T45" i="4"/>
  <c r="Y45" i="4"/>
  <c r="T21" i="4"/>
  <c r="Y21" i="4"/>
  <c r="Z21" i="4" s="1"/>
  <c r="T49" i="4"/>
  <c r="Y49" i="4"/>
  <c r="Y21" i="1"/>
  <c r="Z21" i="1" s="1"/>
  <c r="Y21" i="2"/>
  <c r="Z21" i="2" s="1"/>
  <c r="T19" i="4"/>
  <c r="Y19" i="4"/>
  <c r="Z19" i="4" s="1"/>
  <c r="T27" i="4"/>
  <c r="Y27" i="4"/>
  <c r="Z27" i="4" s="1"/>
  <c r="T35" i="4"/>
  <c r="Y35" i="4"/>
  <c r="Z35" i="4" s="1"/>
  <c r="M52" i="1"/>
  <c r="T24" i="4"/>
  <c r="Y24" i="4"/>
  <c r="Z24" i="4" s="1"/>
  <c r="T32" i="4"/>
  <c r="Y32" i="4"/>
  <c r="Z32" i="4" s="1"/>
  <c r="T48" i="4"/>
  <c r="Y48" i="4"/>
  <c r="Y44" i="4"/>
  <c r="T25" i="4"/>
  <c r="Y25" i="4"/>
  <c r="Z25" i="4" s="1"/>
  <c r="Y20" i="3"/>
  <c r="Z20" i="3" s="1"/>
  <c r="Y23" i="3"/>
  <c r="Z23" i="3" s="1"/>
  <c r="Y21" i="3"/>
  <c r="Z21" i="3" s="1"/>
  <c r="M52" i="4"/>
  <c r="R56" i="4" s="1"/>
  <c r="Y13" i="3"/>
  <c r="Z14" i="3"/>
  <c r="Z44" i="3"/>
  <c r="Z14" i="1"/>
  <c r="Z13" i="1" s="1"/>
  <c r="Y13" i="1"/>
  <c r="Y13" i="2"/>
  <c r="Z14" i="2"/>
  <c r="Z13" i="2" s="1"/>
  <c r="T20" i="1"/>
  <c r="Y20" i="1"/>
  <c r="Z20" i="1" s="1"/>
  <c r="T46" i="1"/>
  <c r="Y46" i="1"/>
  <c r="Z46" i="1" s="1"/>
  <c r="T31" i="1"/>
  <c r="Y31" i="1"/>
  <c r="Z31" i="1" s="1"/>
  <c r="S15" i="2"/>
  <c r="P52" i="3"/>
  <c r="Y24" i="3"/>
  <c r="Z24" i="3" s="1"/>
  <c r="Y48" i="3"/>
  <c r="Z48" i="3" s="1"/>
  <c r="Y25" i="1"/>
  <c r="Z25" i="1" s="1"/>
  <c r="Y26" i="2"/>
  <c r="Z26" i="2" s="1"/>
  <c r="Y49" i="2"/>
  <c r="Z49" i="2" s="1"/>
  <c r="Y22" i="1"/>
  <c r="Z22" i="1" s="1"/>
  <c r="Y18" i="3"/>
  <c r="Z18" i="3" s="1"/>
  <c r="Y34" i="3"/>
  <c r="Z34" i="3" s="1"/>
  <c r="Y17" i="2"/>
  <c r="Z17" i="2" s="1"/>
  <c r="Y33" i="2"/>
  <c r="Z33" i="2" s="1"/>
  <c r="Y49" i="1"/>
  <c r="Z49" i="1" s="1"/>
  <c r="Y20" i="2"/>
  <c r="Z20" i="2" s="1"/>
  <c r="Y36" i="2"/>
  <c r="Z36" i="2" s="1"/>
  <c r="Y24" i="1"/>
  <c r="Z24" i="1" s="1"/>
  <c r="T28" i="1"/>
  <c r="Y28" i="1"/>
  <c r="Z28" i="1" s="1"/>
  <c r="T32" i="1"/>
  <c r="Y32" i="1"/>
  <c r="Z32" i="1" s="1"/>
  <c r="N52" i="6"/>
  <c r="S56" i="5" s="1"/>
  <c r="Y28" i="3"/>
  <c r="Z28" i="3" s="1"/>
  <c r="V52" i="2"/>
  <c r="Y47" i="1"/>
  <c r="Z47" i="1" s="1"/>
  <c r="Y30" i="2"/>
  <c r="Z30" i="2" s="1"/>
  <c r="Y26" i="1"/>
  <c r="Z26" i="1" s="1"/>
  <c r="Y22" i="3"/>
  <c r="Z22" i="3" s="1"/>
  <c r="Y45" i="3"/>
  <c r="Z45" i="3" s="1"/>
  <c r="Y17" i="1"/>
  <c r="Z17" i="1" s="1"/>
  <c r="Y24" i="2"/>
  <c r="Z24" i="2" s="1"/>
  <c r="Y47" i="2"/>
  <c r="Y35" i="1"/>
  <c r="Z35" i="1" s="1"/>
  <c r="T19" i="1"/>
  <c r="Y19" i="1"/>
  <c r="Z19" i="1" s="1"/>
  <c r="T45" i="1"/>
  <c r="Y45" i="1"/>
  <c r="T29" i="1"/>
  <c r="Y29" i="1"/>
  <c r="Z29" i="1" s="1"/>
  <c r="T33" i="1"/>
  <c r="Y33" i="1"/>
  <c r="Z33" i="1" s="1"/>
  <c r="O15" i="1"/>
  <c r="S11" i="2"/>
  <c r="L52" i="3"/>
  <c r="G37" i="14"/>
  <c r="Y16" i="3"/>
  <c r="Y32" i="3"/>
  <c r="Z32" i="3" s="1"/>
  <c r="Y18" i="2"/>
  <c r="Z18" i="2" s="1"/>
  <c r="Y34" i="2"/>
  <c r="Z34" i="2" s="1"/>
  <c r="Y48" i="1"/>
  <c r="Z48" i="1" s="1"/>
  <c r="Y26" i="3"/>
  <c r="Z26" i="3" s="1"/>
  <c r="Y25" i="2"/>
  <c r="Z25" i="2" s="1"/>
  <c r="Y48" i="2"/>
  <c r="Z48" i="2" s="1"/>
  <c r="Y23" i="1"/>
  <c r="Z23" i="1" s="1"/>
  <c r="V52" i="1"/>
  <c r="Y49" i="3"/>
  <c r="Z49" i="3" s="1"/>
  <c r="Y28" i="2"/>
  <c r="Z28" i="2" s="1"/>
  <c r="T30" i="1"/>
  <c r="Y30" i="1"/>
  <c r="Z30" i="1" s="1"/>
  <c r="T34" i="1"/>
  <c r="Y34" i="1"/>
  <c r="Z34" i="1" s="1"/>
  <c r="S15" i="1"/>
  <c r="O15" i="2"/>
  <c r="Z16" i="1"/>
  <c r="Y22" i="2"/>
  <c r="Z22" i="2" s="1"/>
  <c r="Y45" i="2"/>
  <c r="Z45" i="2" s="1"/>
  <c r="Y30" i="3"/>
  <c r="Z30" i="3" s="1"/>
  <c r="Y27" i="1"/>
  <c r="Z27" i="1" s="1"/>
  <c r="Y16" i="2"/>
  <c r="Y32" i="2"/>
  <c r="Z32" i="2" s="1"/>
  <c r="Y18" i="1"/>
  <c r="Z18" i="1" s="1"/>
  <c r="O13" i="6"/>
  <c r="T14" i="6"/>
  <c r="T13" i="6" s="1"/>
  <c r="T16" i="6"/>
  <c r="I37" i="14"/>
  <c r="T44" i="6"/>
  <c r="T43" i="6" s="1"/>
  <c r="O13" i="5"/>
  <c r="T13" i="5"/>
  <c r="H37" i="14"/>
  <c r="T44" i="5"/>
  <c r="T43" i="5" s="1"/>
  <c r="O13" i="4"/>
  <c r="T13" i="4"/>
  <c r="T44" i="4"/>
  <c r="S52" i="4"/>
  <c r="L52" i="4"/>
  <c r="P52" i="4"/>
  <c r="O13" i="3"/>
  <c r="T14" i="3"/>
  <c r="T13" i="3" s="1"/>
  <c r="T44" i="3"/>
  <c r="T43" i="3" s="1"/>
  <c r="T16" i="3"/>
  <c r="O13" i="2"/>
  <c r="T14" i="2"/>
  <c r="T13" i="2" s="1"/>
  <c r="O43" i="2"/>
  <c r="E37" i="14" s="1"/>
  <c r="T16" i="2"/>
  <c r="T15" i="2" s="1"/>
  <c r="D49" i="14"/>
  <c r="D44" i="14"/>
  <c r="L52" i="1"/>
  <c r="P52" i="1"/>
  <c r="O43" i="1"/>
  <c r="T44" i="1"/>
  <c r="T43" i="1" s="1"/>
  <c r="O13" i="1"/>
  <c r="T14" i="1"/>
  <c r="T13" i="1" s="1"/>
  <c r="S43" i="1"/>
  <c r="T16" i="1"/>
  <c r="N49" i="14"/>
  <c r="P13" i="13" l="1"/>
  <c r="Q14" i="13"/>
  <c r="T43" i="4"/>
  <c r="Z43" i="5"/>
  <c r="X49" i="13"/>
  <c r="X43" i="13" s="1"/>
  <c r="Y43" i="6"/>
  <c r="Z44" i="6"/>
  <c r="Z43" i="6" s="1"/>
  <c r="Z14" i="5"/>
  <c r="Z13" i="5" s="1"/>
  <c r="Y13" i="5"/>
  <c r="O52" i="4"/>
  <c r="G44" i="14" s="1"/>
  <c r="T15" i="5"/>
  <c r="T52" i="5" s="1"/>
  <c r="Y43" i="5"/>
  <c r="Q56" i="5"/>
  <c r="Q58" i="5" s="1"/>
  <c r="Q56" i="4"/>
  <c r="Z47" i="2"/>
  <c r="W47" i="13" s="1"/>
  <c r="V47" i="13"/>
  <c r="Z13" i="3"/>
  <c r="W14" i="13"/>
  <c r="W13" i="13" s="1"/>
  <c r="V44" i="13"/>
  <c r="Z46" i="4"/>
  <c r="W46" i="13" s="1"/>
  <c r="V46" i="13"/>
  <c r="T56" i="4"/>
  <c r="T57" i="4" s="1"/>
  <c r="Z49" i="4"/>
  <c r="W49" i="13" s="1"/>
  <c r="V49" i="13"/>
  <c r="Z45" i="4"/>
  <c r="V45" i="13"/>
  <c r="Z48" i="4"/>
  <c r="W48" i="13" s="1"/>
  <c r="V48" i="13"/>
  <c r="Z19" i="5"/>
  <c r="W19" i="13" s="1"/>
  <c r="V19" i="13"/>
  <c r="Z16" i="5"/>
  <c r="Z15" i="5" s="1"/>
  <c r="Z52" i="5" s="1"/>
  <c r="Y15" i="5"/>
  <c r="Y52" i="5" s="1"/>
  <c r="Z20" i="5"/>
  <c r="W20" i="13" s="1"/>
  <c r="V20" i="13"/>
  <c r="Z33" i="6"/>
  <c r="W33" i="13" s="1"/>
  <c r="V33" i="13"/>
  <c r="Z22" i="6"/>
  <c r="W22" i="13" s="1"/>
  <c r="V22" i="13"/>
  <c r="Z24" i="6"/>
  <c r="W24" i="13" s="1"/>
  <c r="V24" i="13"/>
  <c r="Z27" i="6"/>
  <c r="W27" i="13" s="1"/>
  <c r="V27" i="13"/>
  <c r="Z18" i="6"/>
  <c r="W18" i="13" s="1"/>
  <c r="V18" i="13"/>
  <c r="X17" i="13"/>
  <c r="Q17" i="13"/>
  <c r="Z30" i="6"/>
  <c r="W30" i="13" s="1"/>
  <c r="V30" i="13"/>
  <c r="Z28" i="6"/>
  <c r="W28" i="13" s="1"/>
  <c r="V28" i="13"/>
  <c r="Z26" i="6"/>
  <c r="W26" i="13" s="1"/>
  <c r="V26" i="13"/>
  <c r="Z21" i="6"/>
  <c r="W21" i="13" s="1"/>
  <c r="V21" i="13"/>
  <c r="Z29" i="6"/>
  <c r="W29" i="13" s="1"/>
  <c r="V29" i="13"/>
  <c r="Y15" i="6"/>
  <c r="Z16" i="6"/>
  <c r="V16" i="13"/>
  <c r="Z23" i="6"/>
  <c r="W23" i="13" s="1"/>
  <c r="V23" i="13"/>
  <c r="Z25" i="6"/>
  <c r="W25" i="13" s="1"/>
  <c r="V25" i="13"/>
  <c r="Z31" i="6"/>
  <c r="W31" i="13" s="1"/>
  <c r="V31" i="13"/>
  <c r="Z35" i="6"/>
  <c r="W35" i="13" s="1"/>
  <c r="V35" i="13"/>
  <c r="T15" i="6"/>
  <c r="T52" i="6" s="1"/>
  <c r="Z32" i="6"/>
  <c r="W32" i="13" s="1"/>
  <c r="V32" i="13"/>
  <c r="Z17" i="6"/>
  <c r="W17" i="13" s="1"/>
  <c r="V17" i="13"/>
  <c r="Z36" i="6"/>
  <c r="W36" i="13" s="1"/>
  <c r="V36" i="13"/>
  <c r="X16" i="13"/>
  <c r="P15" i="13"/>
  <c r="Z34" i="6"/>
  <c r="W34" i="13" s="1"/>
  <c r="V34" i="13"/>
  <c r="S58" i="5"/>
  <c r="H48" i="14"/>
  <c r="R56" i="1"/>
  <c r="O52" i="5"/>
  <c r="T15" i="3"/>
  <c r="T52" i="3" s="1"/>
  <c r="O52" i="3"/>
  <c r="F44" i="14" s="1"/>
  <c r="L56" i="3"/>
  <c r="T15" i="1"/>
  <c r="T52" i="1" s="1"/>
  <c r="Q56" i="1"/>
  <c r="S52" i="6"/>
  <c r="S52" i="2"/>
  <c r="T15" i="4"/>
  <c r="T52" i="4" s="1"/>
  <c r="O52" i="6"/>
  <c r="Y43" i="4"/>
  <c r="Z44" i="4"/>
  <c r="Y13" i="4"/>
  <c r="Z14" i="4"/>
  <c r="Z13" i="4" s="1"/>
  <c r="T52" i="2"/>
  <c r="Y15" i="4"/>
  <c r="Z16" i="4"/>
  <c r="Z15" i="4" s="1"/>
  <c r="O52" i="2"/>
  <c r="Z16" i="2"/>
  <c r="Z15" i="2" s="1"/>
  <c r="Y15" i="2"/>
  <c r="Y43" i="3"/>
  <c r="Y15" i="3"/>
  <c r="Z16" i="3"/>
  <c r="Z15" i="3" s="1"/>
  <c r="Y15" i="1"/>
  <c r="Y43" i="2"/>
  <c r="Z15" i="1"/>
  <c r="Y43" i="1"/>
  <c r="Z45" i="1"/>
  <c r="Z43" i="1" s="1"/>
  <c r="Z43" i="3"/>
  <c r="S52" i="1"/>
  <c r="O52" i="1"/>
  <c r="K44" i="14"/>
  <c r="I46" i="14"/>
  <c r="M48" i="14"/>
  <c r="M39" i="14"/>
  <c r="Y52" i="6" l="1"/>
  <c r="Z43" i="2"/>
  <c r="W45" i="13"/>
  <c r="V43" i="13"/>
  <c r="Z43" i="4"/>
  <c r="Z52" i="4" s="1"/>
  <c r="W44" i="13"/>
  <c r="Z15" i="6"/>
  <c r="Z52" i="6" s="1"/>
  <c r="W16" i="13"/>
  <c r="W15" i="13" s="1"/>
  <c r="X15" i="13"/>
  <c r="X52" i="13" s="1"/>
  <c r="V15" i="13"/>
  <c r="T56" i="5"/>
  <c r="Y52" i="2"/>
  <c r="Z52" i="2"/>
  <c r="E44" i="14"/>
  <c r="Z52" i="1"/>
  <c r="Y52" i="3"/>
  <c r="T56" i="1"/>
  <c r="Y52" i="4"/>
  <c r="Z52" i="3"/>
  <c r="I47" i="14"/>
  <c r="Q51" i="13"/>
  <c r="L44" i="14"/>
  <c r="I44" i="14"/>
  <c r="N39" i="14"/>
  <c r="O49" i="14"/>
  <c r="P49" i="14" s="1"/>
  <c r="O39" i="14"/>
  <c r="O48" i="14"/>
  <c r="N44" i="14"/>
  <c r="N48" i="14"/>
  <c r="M44" i="14"/>
  <c r="J44" i="14"/>
  <c r="O44" i="14"/>
  <c r="W43" i="13" l="1"/>
  <c r="W52" i="13" s="1"/>
  <c r="V52" i="13"/>
  <c r="P48" i="14"/>
  <c r="P39" i="14"/>
  <c r="M20" i="14"/>
  <c r="K20" i="14"/>
  <c r="K17" i="14"/>
  <c r="L31" i="14"/>
  <c r="L29" i="14"/>
  <c r="M35" i="14"/>
  <c r="M33" i="14"/>
  <c r="M31" i="14"/>
  <c r="M28" i="14"/>
  <c r="Q47" i="13"/>
  <c r="H44" i="14"/>
  <c r="P44" i="14" s="1"/>
  <c r="L47" i="14"/>
  <c r="L35" i="14"/>
  <c r="L26" i="14"/>
  <c r="L34" i="14"/>
  <c r="L25" i="14"/>
  <c r="L21" i="14"/>
  <c r="J37" i="14"/>
  <c r="E19" i="14"/>
  <c r="J47" i="14" l="1"/>
  <c r="Q50" i="13"/>
  <c r="L32" i="14"/>
  <c r="N23" i="14"/>
  <c r="N31" i="14"/>
  <c r="O35" i="14"/>
  <c r="K21" i="14"/>
  <c r="K38" i="14"/>
  <c r="L27" i="14"/>
  <c r="L43" i="14"/>
  <c r="L33" i="14"/>
  <c r="M42" i="14"/>
  <c r="N18" i="14"/>
  <c r="N36" i="14"/>
  <c r="N28" i="14"/>
  <c r="O18" i="14"/>
  <c r="O23" i="14"/>
  <c r="O27" i="14"/>
  <c r="O32" i="14"/>
  <c r="O36" i="14"/>
  <c r="O45" i="14"/>
  <c r="K37" i="14"/>
  <c r="M25" i="14"/>
  <c r="M29" i="14"/>
  <c r="M34" i="14"/>
  <c r="N26" i="14"/>
  <c r="O47" i="14"/>
  <c r="O20" i="14"/>
  <c r="L17" i="14"/>
  <c r="K26" i="14"/>
  <c r="K35" i="14"/>
  <c r="M24" i="14"/>
  <c r="K18" i="14"/>
  <c r="K27" i="14"/>
  <c r="K36" i="14"/>
  <c r="M21" i="14"/>
  <c r="L42" i="14"/>
  <c r="H36" i="14"/>
  <c r="L37" i="14"/>
  <c r="N33" i="14"/>
  <c r="N25" i="14"/>
  <c r="O31" i="14"/>
  <c r="N45" i="14"/>
  <c r="N21" i="14"/>
  <c r="J36" i="14"/>
  <c r="L23" i="14"/>
  <c r="L28" i="14"/>
  <c r="M43" i="14"/>
  <c r="M37" i="14"/>
  <c r="N47" i="14"/>
  <c r="N32" i="14"/>
  <c r="N24" i="14"/>
  <c r="M18" i="14"/>
  <c r="M17" i="14"/>
  <c r="N34" i="14"/>
  <c r="O24" i="14"/>
  <c r="O28" i="14"/>
  <c r="O33" i="14"/>
  <c r="O37" i="14"/>
  <c r="O17" i="14"/>
  <c r="K24" i="14"/>
  <c r="K33" i="14"/>
  <c r="K25" i="14"/>
  <c r="K34" i="14"/>
  <c r="K45" i="14"/>
  <c r="Q37" i="13"/>
  <c r="L20" i="14"/>
  <c r="M45" i="14"/>
  <c r="N43" i="14"/>
  <c r="O26" i="14"/>
  <c r="K28" i="14"/>
  <c r="M26" i="14"/>
  <c r="K29" i="14"/>
  <c r="I36" i="14"/>
  <c r="J38" i="14"/>
  <c r="P38" i="14" s="1"/>
  <c r="Q38" i="13"/>
  <c r="K42" i="14"/>
  <c r="L18" i="14"/>
  <c r="L36" i="14"/>
  <c r="L24" i="14"/>
  <c r="N42" i="14"/>
  <c r="N27" i="14"/>
  <c r="N20" i="14"/>
  <c r="N37" i="14"/>
  <c r="O42" i="14"/>
  <c r="O21" i="14"/>
  <c r="O25" i="14"/>
  <c r="O29" i="14"/>
  <c r="O34" i="14"/>
  <c r="O43" i="14"/>
  <c r="M23" i="14"/>
  <c r="M27" i="14"/>
  <c r="M32" i="14"/>
  <c r="M36" i="14"/>
  <c r="N29" i="14"/>
  <c r="N35" i="14"/>
  <c r="N17" i="14"/>
  <c r="L45" i="14"/>
  <c r="K31" i="14"/>
  <c r="G36" i="14"/>
  <c r="K23" i="14"/>
  <c r="K32" i="14"/>
  <c r="K43" i="14"/>
  <c r="M47" i="14"/>
  <c r="E36" i="14"/>
  <c r="K47" i="14"/>
  <c r="I45" i="14"/>
  <c r="I43" i="14"/>
  <c r="E18" i="14" l="1"/>
  <c r="P37" i="14"/>
  <c r="E17" i="14"/>
  <c r="F36" i="14"/>
  <c r="P36" i="14" s="1"/>
  <c r="H46" i="14"/>
  <c r="Q36" i="13"/>
  <c r="P47" i="14"/>
  <c r="I42" i="14"/>
  <c r="E16" i="13" l="1"/>
  <c r="E15" i="13" s="1"/>
  <c r="G30" i="14"/>
  <c r="G46" i="14"/>
  <c r="Q11" i="13"/>
  <c r="E13" i="13"/>
  <c r="F13" i="13"/>
  <c r="G13" i="13"/>
  <c r="H13" i="13"/>
  <c r="I13" i="13"/>
  <c r="J13" i="13"/>
  <c r="K13" i="13"/>
  <c r="L13" i="13"/>
  <c r="M13" i="13"/>
  <c r="N13" i="13"/>
  <c r="O13" i="13"/>
  <c r="F16" i="13"/>
  <c r="F15" i="13" s="1"/>
  <c r="G16" i="13"/>
  <c r="G15" i="13" s="1"/>
  <c r="H16" i="13"/>
  <c r="H15" i="13" s="1"/>
  <c r="I16" i="13"/>
  <c r="I15" i="13" l="1"/>
  <c r="Q16" i="13"/>
  <c r="E31" i="14"/>
  <c r="H33" i="14"/>
  <c r="I20" i="14"/>
  <c r="I25" i="14"/>
  <c r="J31" i="14"/>
  <c r="G34" i="14"/>
  <c r="G26" i="14"/>
  <c r="G22" i="14"/>
  <c r="J34" i="14"/>
  <c r="J26" i="14"/>
  <c r="J18" i="14"/>
  <c r="J24" i="14"/>
  <c r="J20" i="14"/>
  <c r="J42" i="14"/>
  <c r="J33" i="14"/>
  <c r="J29" i="14"/>
  <c r="J25" i="14"/>
  <c r="J17" i="14"/>
  <c r="H45" i="14"/>
  <c r="H43" i="14"/>
  <c r="H32" i="14"/>
  <c r="H29" i="14"/>
  <c r="H25" i="14"/>
  <c r="H21" i="14"/>
  <c r="H17" i="14"/>
  <c r="H20" i="14"/>
  <c r="H18" i="14"/>
  <c r="G45" i="14"/>
  <c r="G43" i="14"/>
  <c r="G32" i="14"/>
  <c r="G28" i="14"/>
  <c r="G24" i="14"/>
  <c r="G20" i="14"/>
  <c r="G18" i="14"/>
  <c r="G31" i="14"/>
  <c r="G27" i="14"/>
  <c r="G23" i="14"/>
  <c r="F35" i="14"/>
  <c r="F31" i="14"/>
  <c r="F27" i="14"/>
  <c r="F23" i="14"/>
  <c r="F18" i="14" l="1"/>
  <c r="F22" i="14"/>
  <c r="F26" i="14"/>
  <c r="F30" i="14"/>
  <c r="F34" i="14"/>
  <c r="F43" i="14"/>
  <c r="G17" i="14"/>
  <c r="G21" i="14"/>
  <c r="H35" i="14"/>
  <c r="H42" i="14"/>
  <c r="H27" i="14"/>
  <c r="I23" i="14"/>
  <c r="I31" i="14"/>
  <c r="I18" i="14"/>
  <c r="I22" i="14"/>
  <c r="I26" i="14"/>
  <c r="I34" i="14"/>
  <c r="J28" i="14"/>
  <c r="J32" i="14"/>
  <c r="G25" i="14"/>
  <c r="G29" i="14"/>
  <c r="G33" i="14"/>
  <c r="E43" i="14"/>
  <c r="E42" i="14"/>
  <c r="J45" i="14"/>
  <c r="D25" i="14"/>
  <c r="Q25" i="13"/>
  <c r="D24" i="14"/>
  <c r="Q24" i="13"/>
  <c r="J43" i="14"/>
  <c r="F17" i="14"/>
  <c r="D23" i="14"/>
  <c r="Q23" i="13"/>
  <c r="D31" i="14"/>
  <c r="Q31" i="13"/>
  <c r="D22" i="14"/>
  <c r="Q22" i="13"/>
  <c r="D30" i="14"/>
  <c r="Q30" i="13"/>
  <c r="G42" i="14"/>
  <c r="F25" i="14"/>
  <c r="F33" i="14"/>
  <c r="F45" i="14"/>
  <c r="I28" i="14"/>
  <c r="F24" i="14"/>
  <c r="E45" i="14"/>
  <c r="E28" i="14"/>
  <c r="E25" i="14"/>
  <c r="I24" i="14"/>
  <c r="H24" i="14"/>
  <c r="I32" i="14"/>
  <c r="E30" i="14"/>
  <c r="I35" i="14"/>
  <c r="D33" i="14"/>
  <c r="Q33" i="13"/>
  <c r="D42" i="14"/>
  <c r="Q45" i="13"/>
  <c r="H34" i="14"/>
  <c r="E21" i="14"/>
  <c r="F20" i="14"/>
  <c r="E23" i="14"/>
  <c r="E20" i="14"/>
  <c r="H22" i="14"/>
  <c r="H28" i="14"/>
  <c r="J35" i="14"/>
  <c r="E26" i="14"/>
  <c r="D17" i="14"/>
  <c r="D32" i="14"/>
  <c r="Q32" i="13"/>
  <c r="Q21" i="13"/>
  <c r="D21" i="14"/>
  <c r="Q29" i="13"/>
  <c r="D29" i="14"/>
  <c r="Q20" i="13"/>
  <c r="D20" i="14"/>
  <c r="Q28" i="13"/>
  <c r="D28" i="14"/>
  <c r="Q46" i="13"/>
  <c r="D43" i="14"/>
  <c r="Q19" i="13"/>
  <c r="D19" i="14"/>
  <c r="P19" i="14" s="1"/>
  <c r="Q27" i="13"/>
  <c r="D27" i="14"/>
  <c r="Q35" i="13"/>
  <c r="D35" i="14"/>
  <c r="D18" i="14"/>
  <c r="P18" i="14" s="1"/>
  <c r="Q18" i="13"/>
  <c r="D26" i="14"/>
  <c r="Q26" i="13"/>
  <c r="D34" i="14"/>
  <c r="Q34" i="13"/>
  <c r="D45" i="14"/>
  <c r="P45" i="14" s="1"/>
  <c r="Q48" i="13"/>
  <c r="F21" i="14"/>
  <c r="I33" i="14"/>
  <c r="Q49" i="13"/>
  <c r="F46" i="14"/>
  <c r="P46" i="14" s="1"/>
  <c r="F32" i="14"/>
  <c r="E35" i="14"/>
  <c r="J23" i="14"/>
  <c r="F28" i="14"/>
  <c r="H26" i="14"/>
  <c r="I29" i="14"/>
  <c r="J27" i="14"/>
  <c r="E24" i="14"/>
  <c r="E34" i="14"/>
  <c r="H23" i="14"/>
  <c r="I27" i="14"/>
  <c r="J21" i="14"/>
  <c r="I17" i="14"/>
  <c r="F29" i="14"/>
  <c r="F42" i="14"/>
  <c r="E33" i="14"/>
  <c r="G35" i="14"/>
  <c r="E29" i="14"/>
  <c r="E27" i="14"/>
  <c r="H31" i="14"/>
  <c r="E22" i="14"/>
  <c r="E32" i="14"/>
  <c r="I21" i="14"/>
  <c r="O16" i="14"/>
  <c r="O14" i="14"/>
  <c r="O13" i="14" s="1"/>
  <c r="N14" i="14"/>
  <c r="N13" i="14" s="1"/>
  <c r="N16" i="14"/>
  <c r="M16" i="14"/>
  <c r="M14" i="14"/>
  <c r="M13" i="14" s="1"/>
  <c r="L16" i="14"/>
  <c r="L14" i="14"/>
  <c r="L13" i="14" s="1"/>
  <c r="K14" i="14"/>
  <c r="K13" i="14" s="1"/>
  <c r="K16" i="14"/>
  <c r="J16" i="14"/>
  <c r="J14" i="14"/>
  <c r="J13" i="14" s="1"/>
  <c r="I16" i="14"/>
  <c r="I14" i="14"/>
  <c r="I13" i="14" s="1"/>
  <c r="H14" i="14"/>
  <c r="H13" i="14" s="1"/>
  <c r="H16" i="14"/>
  <c r="G14" i="14"/>
  <c r="G13" i="14" s="1"/>
  <c r="G16" i="14"/>
  <c r="F16" i="14"/>
  <c r="F14" i="14"/>
  <c r="F13" i="14" s="1"/>
  <c r="E14" i="14"/>
  <c r="E13" i="14" s="1"/>
  <c r="E16" i="14"/>
  <c r="D14" i="14"/>
  <c r="D16" i="14"/>
  <c r="D41" i="14"/>
  <c r="Q15" i="13" l="1"/>
  <c r="P42" i="14"/>
  <c r="P43" i="14"/>
  <c r="P20" i="14"/>
  <c r="P31" i="14"/>
  <c r="P27" i="14"/>
  <c r="P28" i="14"/>
  <c r="P33" i="14"/>
  <c r="P22" i="14"/>
  <c r="P34" i="14"/>
  <c r="P17" i="14"/>
  <c r="P23" i="14"/>
  <c r="P21" i="14"/>
  <c r="P25" i="14"/>
  <c r="P29" i="14"/>
  <c r="P35" i="14"/>
  <c r="P30" i="14"/>
  <c r="P24" i="14"/>
  <c r="P26" i="14"/>
  <c r="P32" i="14"/>
  <c r="I15" i="14"/>
  <c r="N15" i="14"/>
  <c r="H40" i="14"/>
  <c r="H15" i="14"/>
  <c r="O15" i="14"/>
  <c r="O40" i="14"/>
  <c r="N40" i="14"/>
  <c r="L40" i="14"/>
  <c r="M15" i="14"/>
  <c r="M40" i="14"/>
  <c r="L15" i="14"/>
  <c r="K40" i="14"/>
  <c r="K15" i="14"/>
  <c r="J15" i="14"/>
  <c r="J40" i="14"/>
  <c r="G40" i="14"/>
  <c r="G15" i="14"/>
  <c r="F15" i="14"/>
  <c r="E15" i="14"/>
  <c r="D40" i="14"/>
  <c r="Q13" i="13"/>
  <c r="D13" i="14"/>
  <c r="P14" i="14"/>
  <c r="P13" i="14" s="1"/>
  <c r="D15" i="14"/>
  <c r="I40" i="14" l="1"/>
  <c r="F40" i="14"/>
  <c r="E40" i="14"/>
  <c r="N12" i="14" l="1"/>
  <c r="K12" i="14"/>
  <c r="O12" i="14" l="1"/>
  <c r="M12" i="14"/>
  <c r="L12" i="14"/>
  <c r="I12" i="14" l="1"/>
  <c r="J12" i="14" l="1"/>
  <c r="H12" i="14" l="1"/>
  <c r="G12" i="14" l="1"/>
  <c r="D12" i="14" l="1"/>
  <c r="F12" i="14" l="1"/>
  <c r="E12" i="14"/>
  <c r="E11" i="14" s="1"/>
  <c r="E50" i="14" s="1"/>
  <c r="D11" i="14"/>
  <c r="D50" i="14" s="1"/>
  <c r="Q44" i="13" l="1"/>
  <c r="Q43" i="13" s="1"/>
  <c r="D12" i="13" l="1"/>
  <c r="E12" i="13"/>
  <c r="F12" i="13"/>
  <c r="G12" i="13"/>
  <c r="H12" i="13"/>
  <c r="I12" i="13"/>
  <c r="J12" i="13"/>
  <c r="K12" i="13"/>
  <c r="L12" i="13"/>
  <c r="M12" i="13"/>
  <c r="N12" i="13"/>
  <c r="O12" i="13"/>
  <c r="S12" i="13" l="1"/>
  <c r="S11" i="13" s="1"/>
  <c r="S52" i="13" s="1"/>
  <c r="D11" i="13"/>
  <c r="D52" i="13" s="1"/>
  <c r="O11" i="13"/>
  <c r="O52" i="13" s="1"/>
  <c r="N11" i="13"/>
  <c r="N52" i="13" s="1"/>
  <c r="M11" i="13"/>
  <c r="M52" i="13" s="1"/>
  <c r="L11" i="13"/>
  <c r="L52" i="13" s="1"/>
  <c r="J11" i="13" l="1"/>
  <c r="J52" i="13" s="1"/>
  <c r="I11" i="13"/>
  <c r="I52" i="13" s="1"/>
  <c r="H11" i="13"/>
  <c r="H52" i="13" s="1"/>
  <c r="K11" i="13" l="1"/>
  <c r="K52" i="13" s="1"/>
  <c r="L11" i="14" l="1"/>
  <c r="L50" i="14" s="1"/>
  <c r="M11" i="14"/>
  <c r="M50" i="14" s="1"/>
  <c r="N11" i="14"/>
  <c r="N50" i="14" s="1"/>
  <c r="O11" i="14"/>
  <c r="O50" i="14" s="1"/>
  <c r="J11" i="14" l="1"/>
  <c r="J50" i="14" s="1"/>
  <c r="K11" i="14"/>
  <c r="K50" i="14" s="1"/>
  <c r="I11" i="14"/>
  <c r="I50" i="14" s="1"/>
  <c r="H11" i="14"/>
  <c r="H50" i="14" s="1"/>
  <c r="G11" i="13" l="1"/>
  <c r="G52" i="13" s="1"/>
  <c r="F11" i="13"/>
  <c r="F52" i="13" s="1"/>
  <c r="E11" i="13" l="1"/>
  <c r="E52" i="13" s="1"/>
  <c r="F11" i="14"/>
  <c r="F50" i="14" s="1"/>
  <c r="G11" i="14" l="1"/>
  <c r="G50" i="14" s="1"/>
  <c r="P41" i="14" l="1"/>
  <c r="P40" i="14" l="1"/>
  <c r="Q52" i="13" l="1"/>
  <c r="P16" i="14"/>
  <c r="P15" i="14" s="1"/>
  <c r="P11" i="13" l="1"/>
  <c r="P52" i="13" s="1"/>
  <c r="P12" i="14"/>
  <c r="P11" i="14" s="1"/>
  <c r="P50" i="14" s="1"/>
  <c r="Y52" i="1" l="1"/>
  <c r="W52" i="1"/>
</calcChain>
</file>

<file path=xl/sharedStrings.xml><?xml version="1.0" encoding="utf-8"?>
<sst xmlns="http://schemas.openxmlformats.org/spreadsheetml/2006/main" count="1692" uniqueCount="158">
  <si>
    <t>CTY TNHH MTV TM VÀ DV NGỌC THƠM</t>
  </si>
  <si>
    <t>Đ/C: 12/14/18 Đường 49, KP 7, P.Hiệp Bình Chánh, Q. Thủ Đức</t>
  </si>
  <si>
    <t>ĐT: 08. 629 006 24</t>
  </si>
  <si>
    <t>STT</t>
  </si>
  <si>
    <t>Họ &amp; tên</t>
  </si>
  <si>
    <t>Chức vụ</t>
  </si>
  <si>
    <t>Lương đóng BHXH</t>
  </si>
  <si>
    <t>Ngày công</t>
  </si>
  <si>
    <t>Lương Căn bản</t>
  </si>
  <si>
    <t>Phụ cấp</t>
  </si>
  <si>
    <t>Tổng lương</t>
  </si>
  <si>
    <t>Các khoản giảm trừ</t>
  </si>
  <si>
    <t>Các khoản trừ vào CP QLDN</t>
  </si>
  <si>
    <t>Thực nhận</t>
  </si>
  <si>
    <t>Ký tên</t>
  </si>
  <si>
    <t>PC trách nhiệm, chức vụ, độc hại</t>
  </si>
  <si>
    <t>Xăng xe, điện thoại, nhà ở</t>
  </si>
  <si>
    <t>Tiền cơm</t>
  </si>
  <si>
    <t>BHXH (8%)</t>
  </si>
  <si>
    <t>BHYT (1.5%)</t>
  </si>
  <si>
    <t>BHTN (1%)</t>
  </si>
  <si>
    <t>Cộng</t>
  </si>
  <si>
    <t>BHYT (3%)</t>
  </si>
  <si>
    <t>BAN GIÁM ĐỐC</t>
  </si>
  <si>
    <t>Đặng Xuân Ngọc</t>
  </si>
  <si>
    <t>PGĐ</t>
  </si>
  <si>
    <t>Trần Thị Thơm</t>
  </si>
  <si>
    <t>GĐ</t>
  </si>
  <si>
    <t>BỘ PHẬN KINH DOANH</t>
  </si>
  <si>
    <t>NVKD</t>
  </si>
  <si>
    <t>NVGH</t>
  </si>
  <si>
    <t>Huỳnh Quốc Phong</t>
  </si>
  <si>
    <t>Thái Quang Hải</t>
  </si>
  <si>
    <t>Từ Hiếu Thịnh</t>
  </si>
  <si>
    <t>Nguyễn Bảo Thạch</t>
  </si>
  <si>
    <t>Nguyễn Đình Quyền</t>
  </si>
  <si>
    <t>TDV</t>
  </si>
  <si>
    <t>Dương Thị Phương Mai</t>
  </si>
  <si>
    <t>BỘ PHẬN KẾ TOÁN</t>
  </si>
  <si>
    <t>Nguyễn Thị Thanh An</t>
  </si>
  <si>
    <t>Kế toán</t>
  </si>
  <si>
    <t>NVVP</t>
  </si>
  <si>
    <t>Hàng Minh Thư</t>
  </si>
  <si>
    <t>Tổng cộng:</t>
  </si>
  <si>
    <t>Người lập biểu</t>
  </si>
  <si>
    <t xml:space="preserve">   Kế toán trưởng</t>
  </si>
  <si>
    <t xml:space="preserve">          Giám Đốc</t>
  </si>
  <si>
    <t>(ký, ghi rõ họ tên)</t>
  </si>
  <si>
    <t xml:space="preserve">  (ký, ghi rõ họ tên)</t>
  </si>
  <si>
    <t>Lê Kim Đãng</t>
  </si>
  <si>
    <t>Nguyễn Diễm My</t>
  </si>
  <si>
    <t>Nguyễn Hoàng Thực</t>
  </si>
  <si>
    <t>BẢNG THANH TOÁN TIỀN LƯƠNG</t>
  </si>
  <si>
    <t>Trần Cao Hoàng Tâm</t>
  </si>
  <si>
    <t>10=6+7+8+9</t>
  </si>
  <si>
    <t>11=4*8%</t>
  </si>
  <si>
    <t>12=4*1.5%</t>
  </si>
  <si>
    <t>13=4*1%</t>
  </si>
  <si>
    <t>14=11+12+13</t>
  </si>
  <si>
    <t>15=4*17.5%</t>
  </si>
  <si>
    <t>16=4*3%</t>
  </si>
  <si>
    <t>18=15+16+17</t>
  </si>
  <si>
    <t>19=10-14</t>
  </si>
  <si>
    <t>BẢNG TỔNG HỢP TIỀN LƯƠNG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</si>
  <si>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</si>
  <si>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</si>
  <si>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</si>
  <si>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</si>
  <si>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</si>
  <si>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</si>
  <si>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</si>
  <si>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</si>
  <si>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</si>
  <si>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</si>
  <si>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</si>
  <si>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</si>
  <si>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Tổng cộng</t>
  </si>
  <si>
    <t>TỔNG BHXH 2020</t>
  </si>
  <si>
    <t>Trần Kỳ Tâm</t>
  </si>
  <si>
    <t>Trần Thị Huệ</t>
  </si>
  <si>
    <t>Trần Anh Quỳnh</t>
  </si>
  <si>
    <t>Thẩm Ngọc Lam</t>
  </si>
  <si>
    <t>Ngày  31 tháng  12 năm 2021</t>
  </si>
  <si>
    <t>CÔNG TY TNHH MTV TM VÀ DV NGỌC THƠM</t>
  </si>
  <si>
    <t>Đ/C: 12/14/18 Đường 49, Khu Phố 7, P.Hiệp Bình Chánh, TP. Thủ Đức, TP. HCM</t>
  </si>
  <si>
    <t>MST: 0309391503</t>
  </si>
  <si>
    <t>Nguyễn Quốc Minh</t>
  </si>
  <si>
    <t>BHXH (17.5%)</t>
  </si>
  <si>
    <t>Đào Thị Phương</t>
  </si>
  <si>
    <t>Phạm Duy Khánh</t>
  </si>
  <si>
    <t>Trưởng phòng</t>
  </si>
  <si>
    <t>Giang Ngọc Khánh</t>
  </si>
  <si>
    <t>Hoàng Thanh Huy</t>
  </si>
  <si>
    <t>Nguyễn Văn Thạch</t>
  </si>
  <si>
    <t>Đào Ngọc Chín</t>
  </si>
  <si>
    <t>Phạm Văn Quyết</t>
  </si>
  <si>
    <t>BAN GIÁM ĐỐC ( K TÍNH VÀO CP )</t>
  </si>
  <si>
    <t>Dương Việt Hoàng</t>
  </si>
  <si>
    <t>Võ Thị Tuyết Vân</t>
  </si>
  <si>
    <t>Nguyễn Lê Ngọc Khang</t>
  </si>
  <si>
    <t>Nguyễn Văn Lê Hoàng</t>
  </si>
  <si>
    <t>Kế toán trưởng</t>
  </si>
  <si>
    <t>Trương Công Bách</t>
  </si>
  <si>
    <t>Hoàng Đức Thanh</t>
  </si>
  <si>
    <t>Hứa Thị Ngọc Thơ</t>
  </si>
  <si>
    <t>Hoàng Thị Hoài Nhi</t>
  </si>
  <si>
    <t>Nguyễn Thị Thanh Thúy</t>
  </si>
  <si>
    <t>Năm 2022</t>
  </si>
  <si>
    <t>17=4*1%</t>
  </si>
  <si>
    <t>Tháng 01 năm 2023</t>
  </si>
  <si>
    <t>Ngày  31 tháng  01 năm 2023</t>
  </si>
  <si>
    <t>Trương Quang Thanh</t>
  </si>
  <si>
    <t>Hoa hồng doanh số</t>
  </si>
  <si>
    <t>TNCT</t>
  </si>
  <si>
    <t>Tháng 02 năm 2023</t>
  </si>
  <si>
    <t>Ngày  28 tháng  02 năm 2023</t>
  </si>
  <si>
    <t>Tháng 03 năm 2023</t>
  </si>
  <si>
    <t>KTT</t>
  </si>
  <si>
    <t>TPKD</t>
  </si>
  <si>
    <t>Ngày  31 tháng  03 năm 2023</t>
  </si>
  <si>
    <t>KTBT</t>
  </si>
  <si>
    <t>TNTT</t>
  </si>
  <si>
    <t>Thuế TNCN</t>
  </si>
  <si>
    <t>NPT</t>
  </si>
  <si>
    <t>Nguyễn Thị Thu Hồng</t>
  </si>
  <si>
    <t>Hoa hồng doanh thu</t>
  </si>
  <si>
    <t>Tháng 04 năm 2023</t>
  </si>
  <si>
    <t>Ngày  30 tháng  04 năm 2023</t>
  </si>
  <si>
    <t>Bùi Quốc Việt</t>
  </si>
  <si>
    <t>NVK</t>
  </si>
  <si>
    <t>Phạm Anh Vũ</t>
  </si>
  <si>
    <t>Tháng 06 năm 2023</t>
  </si>
  <si>
    <t>Tháng 05 năm 2023</t>
  </si>
  <si>
    <t>Ngày  31 tháng  05 năm 2023</t>
  </si>
  <si>
    <t>Ngày  30 tháng  06 năm 2023</t>
  </si>
  <si>
    <t>Nguyễn Thanh Hoàng</t>
  </si>
  <si>
    <t>CTV</t>
  </si>
  <si>
    <t>Thuế TNCN/tháng</t>
  </si>
  <si>
    <t>TNTT/tháng</t>
  </si>
  <si>
    <t>Năm 2023</t>
  </si>
  <si>
    <t>TỔNG LƯƠNG 2023</t>
  </si>
  <si>
    <t>Ngày  31 tháng  12 năm 2023</t>
  </si>
  <si>
    <t>TNTT/năm</t>
  </si>
  <si>
    <t>Thuế TNCN/năm</t>
  </si>
  <si>
    <t>Tháng 07 năm 2023</t>
  </si>
  <si>
    <t>Tháng 08 năm 2023</t>
  </si>
  <si>
    <t>Ngày  31 tháng  07 năm 2023</t>
  </si>
  <si>
    <t>Ngày  31 tháng  08 năm 2023</t>
  </si>
  <si>
    <t>Nguyễn Thiên Trang</t>
  </si>
  <si>
    <t>Nguyễn Thiên Thanh</t>
  </si>
  <si>
    <t>Tháng 09 năm 2023</t>
  </si>
  <si>
    <t>Ngày  30 tháng  09 năm 2023</t>
  </si>
  <si>
    <t>Tháng 10 năm 2023</t>
  </si>
  <si>
    <t>Tháng 11 năm 2023</t>
  </si>
  <si>
    <t>Tháng 12 năm 2023</t>
  </si>
  <si>
    <t>Nguyễn Duy Khánh</t>
  </si>
  <si>
    <t>Trịnh Quang Tiến</t>
  </si>
  <si>
    <t xml:space="preserve">Đặng Thị Xuyến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</si>
</sst>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  <numFmt numFmtId="166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4" fontId="8" fillId="0" borderId="0" xfId="1" applyNumberFormat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2" applyNumberFormat="1" applyFont="1" applyAlignment="1">
      <alignment vertical="center"/>
    </xf>
    <xf numFmtId="166" fontId="10" fillId="0" borderId="0" xfId="2" applyNumberFormat="1" applyFont="1" applyAlignment="1">
      <alignment vertical="center"/>
    </xf>
    <xf numFmtId="164" fontId="10" fillId="0" borderId="0" xfId="1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64" fontId="10" fillId="0" borderId="2" xfId="3" applyNumberFormat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vertical="center" wrapText="1"/>
    </xf>
    <xf numFmtId="164" fontId="8" fillId="0" borderId="2" xfId="3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horizontal="left" vertical="center" wrapText="1"/>
    </xf>
    <xf numFmtId="165" fontId="10" fillId="0" borderId="2" xfId="2" applyNumberFormat="1" applyFont="1" applyFill="1" applyBorder="1" applyAlignment="1">
      <alignment vertical="center" wrapText="1"/>
    </xf>
    <xf numFmtId="164" fontId="10" fillId="0" borderId="2" xfId="2" applyNumberFormat="1" applyFont="1" applyFill="1" applyBorder="1" applyAlignment="1">
      <alignment vertical="center" wrapText="1"/>
    </xf>
    <xf numFmtId="165" fontId="8" fillId="0" borderId="2" xfId="2" applyNumberFormat="1" applyFont="1" applyFill="1" applyBorder="1" applyAlignment="1">
      <alignment vertical="center" wrapText="1"/>
    </xf>
    <xf numFmtId="164" fontId="8" fillId="0" borderId="2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1" fillId="0" borderId="2" xfId="1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10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wrapText="1"/>
    </xf>
    <xf numFmtId="164" fontId="13" fillId="3" borderId="2" xfId="1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3" borderId="2" xfId="2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/>
    </xf>
    <xf numFmtId="164" fontId="10" fillId="0" borderId="0" xfId="1" applyNumberFormat="1" applyFont="1" applyBorder="1" applyAlignment="1">
      <alignment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/>
    </xf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submitform('8460891335'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submitform('8460891335'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ubmitform('8460891335')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submitform('8460891335')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ubmitform('8460891335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pane ySplit="10" topLeftCell="A38" activePane="bottomLeft" state="frozen"/>
      <selection pane="bottomLeft" activeCell="A41" sqref="A41:XFD42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57031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109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112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2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>SUM(P14:P14)</f>
        <v>2112250</v>
      </c>
      <c r="Q13" s="51">
        <f t="shared" si="3"/>
        <v>362100</v>
      </c>
      <c r="R13" s="51">
        <f t="shared" si="3"/>
        <v>120700</v>
      </c>
      <c r="S13" s="51">
        <f>SUM(S14:S14)</f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 t="shared" ref="D15:R15" si="5">SUM(D16:D36)</f>
        <v>126975400</v>
      </c>
      <c r="E15" s="51">
        <f t="shared" si="5"/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>SUM(J16:J36)</f>
        <v>113916776.16650005</v>
      </c>
      <c r="K15" s="51">
        <f>SUM(K16:K36)</f>
        <v>349395776.16649997</v>
      </c>
      <c r="L15" s="51">
        <f t="shared" si="5"/>
        <v>10158032</v>
      </c>
      <c r="M15" s="51">
        <f t="shared" si="5"/>
        <v>1904631</v>
      </c>
      <c r="N15" s="51">
        <f t="shared" si="5"/>
        <v>1269754</v>
      </c>
      <c r="O15" s="51">
        <f t="shared" si="5"/>
        <v>13332417</v>
      </c>
      <c r="P15" s="51">
        <f t="shared" si="5"/>
        <v>22220695</v>
      </c>
      <c r="Q15" s="51">
        <f t="shared" si="5"/>
        <v>3809262</v>
      </c>
      <c r="R15" s="51">
        <f t="shared" si="5"/>
        <v>1269754</v>
      </c>
      <c r="S15" s="51">
        <f>SUM(S16:S36)</f>
        <v>27299711</v>
      </c>
      <c r="T15" s="51">
        <f>SUM(T16:T36)</f>
        <v>336063359.16649997</v>
      </c>
      <c r="U15" s="51">
        <f t="shared" ref="U15" si="6">SUM(U16:U35)</f>
        <v>0</v>
      </c>
      <c r="V15" s="51">
        <f>SUM(V16:V36)</f>
        <v>334065776.16649991</v>
      </c>
      <c r="W15" s="51">
        <f t="shared" ref="W15:Y15" si="7">SUM(W16:W36)</f>
        <v>231000000</v>
      </c>
      <c r="X15" s="51">
        <f t="shared" si="7"/>
        <v>96800000</v>
      </c>
      <c r="Y15" s="51">
        <f t="shared" si="7"/>
        <v>43204410.243500009</v>
      </c>
      <c r="Z15" s="51">
        <f>SUM(Z16:Z36)</f>
        <v>2326987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8539989.7345000003</v>
      </c>
      <c r="K16" s="36">
        <f>F16+G16+H16+I16+J16</f>
        <v>19252789.734499998</v>
      </c>
      <c r="L16" s="37">
        <f t="shared" ref="L16:L34" si="8">D16*8%</f>
        <v>501600</v>
      </c>
      <c r="M16" s="38">
        <f t="shared" ref="M16:M34" si="9">D16*1.5%</f>
        <v>94050</v>
      </c>
      <c r="N16" s="39">
        <f t="shared" ref="N16:N34" si="10">D16*1%</f>
        <v>62700</v>
      </c>
      <c r="O16" s="40">
        <f t="shared" ref="O16:O34" si="11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4" si="12">P16+Q16+R16</f>
        <v>1348050</v>
      </c>
      <c r="T16" s="41">
        <f>K16-O16</f>
        <v>18594439.734499998</v>
      </c>
      <c r="U16" s="42"/>
      <c r="V16" s="70">
        <f>K16-I16</f>
        <v>18522789.734499998</v>
      </c>
      <c r="W16" s="71">
        <v>11000000</v>
      </c>
      <c r="X16" s="71"/>
      <c r="Y16" s="71">
        <f>MAX(V16-O16-W16-X16,0)</f>
        <v>6864439.7344999984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436444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4" si="13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7319991.2010000004</v>
      </c>
      <c r="K17" s="36">
        <f t="shared" ref="K17:K36" si="14">F17+G17+H17+I17+J17</f>
        <v>17507191.201000001</v>
      </c>
      <c r="L17" s="37">
        <f t="shared" si="8"/>
        <v>459552</v>
      </c>
      <c r="M17" s="38">
        <f t="shared" si="9"/>
        <v>86166</v>
      </c>
      <c r="N17" s="39">
        <f t="shared" si="10"/>
        <v>57444</v>
      </c>
      <c r="O17" s="40">
        <f t="shared" si="11"/>
        <v>603162</v>
      </c>
      <c r="P17" s="38">
        <f t="shared" ref="P17:P34" si="15">D17*17.5%</f>
        <v>1005269.9999999999</v>
      </c>
      <c r="Q17" s="38">
        <f t="shared" ref="Q17:Q34" si="16">D17*3%</f>
        <v>172332</v>
      </c>
      <c r="R17" s="38">
        <f t="shared" ref="R17:R35" si="17">D17*1%</f>
        <v>57444</v>
      </c>
      <c r="S17" s="40">
        <f t="shared" si="12"/>
        <v>1235046</v>
      </c>
      <c r="T17" s="41">
        <f t="shared" ref="T17:T24" si="18">K17-O17</f>
        <v>16904029.201000001</v>
      </c>
      <c r="U17" s="42"/>
      <c r="V17" s="70">
        <f t="shared" si="2"/>
        <v>16777191.201000001</v>
      </c>
      <c r="W17" s="71">
        <v>11000000</v>
      </c>
      <c r="X17" s="71">
        <f>4400000</f>
        <v>4400000</v>
      </c>
      <c r="Y17" s="71">
        <f t="shared" ref="Y17:Y49" si="19">MAX(V17-O17-W17-X17,0)</f>
        <v>774029.20100000128</v>
      </c>
      <c r="Z17" s="71">
        <f t="shared" ref="Z17:Z49" si="20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38701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3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7319991.2010000004</v>
      </c>
      <c r="K18" s="36">
        <f t="shared" si="14"/>
        <v>17507191.201000001</v>
      </c>
      <c r="L18" s="37">
        <f t="shared" si="8"/>
        <v>459552</v>
      </c>
      <c r="M18" s="38">
        <f t="shared" si="9"/>
        <v>86166</v>
      </c>
      <c r="N18" s="39">
        <f t="shared" si="10"/>
        <v>57444</v>
      </c>
      <c r="O18" s="40">
        <f t="shared" si="11"/>
        <v>603162</v>
      </c>
      <c r="P18" s="38">
        <f t="shared" si="15"/>
        <v>1005269.9999999999</v>
      </c>
      <c r="Q18" s="38">
        <f t="shared" si="16"/>
        <v>172332</v>
      </c>
      <c r="R18" s="38">
        <f t="shared" si="17"/>
        <v>57444</v>
      </c>
      <c r="S18" s="40">
        <f t="shared" si="12"/>
        <v>1235046</v>
      </c>
      <c r="T18" s="41">
        <f t="shared" si="18"/>
        <v>16904029.201000001</v>
      </c>
      <c r="U18" s="42"/>
      <c r="V18" s="70">
        <f t="shared" si="2"/>
        <v>16777191.201000001</v>
      </c>
      <c r="W18" s="71">
        <v>11000000</v>
      </c>
      <c r="X18" s="71">
        <f>4400000</f>
        <v>4400000</v>
      </c>
      <c r="Y18" s="71">
        <f t="shared" si="19"/>
        <v>774029.20100000128</v>
      </c>
      <c r="Z18" s="71">
        <f t="shared" si="20"/>
        <v>38701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4879994.1340000005</v>
      </c>
      <c r="K19" s="36">
        <f t="shared" si="14"/>
        <v>16238394.134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5"/>
        <v>970444.99999999988</v>
      </c>
      <c r="Q19" s="38">
        <f>D19*3%</f>
        <v>166362</v>
      </c>
      <c r="R19" s="38">
        <f t="shared" si="17"/>
        <v>55454</v>
      </c>
      <c r="S19" s="40">
        <f>P19+Q19+R19</f>
        <v>1192261</v>
      </c>
      <c r="T19" s="41">
        <f>K19-O19</f>
        <v>15656127.134</v>
      </c>
      <c r="U19" s="42"/>
      <c r="V19" s="70">
        <f t="shared" si="2"/>
        <v>15508394.134</v>
      </c>
      <c r="W19" s="71">
        <v>11000000</v>
      </c>
      <c r="X19" s="71"/>
      <c r="Y19" s="71">
        <f t="shared" si="19"/>
        <v>3926127.1339999996</v>
      </c>
      <c r="Z19" s="71">
        <f t="shared" si="20"/>
        <v>196306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5591581.6919999998</v>
      </c>
      <c r="K20" s="36">
        <f t="shared" si="14"/>
        <v>16304381.692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5"/>
        <v>1097250</v>
      </c>
      <c r="Q20" s="38">
        <f>D20*3%</f>
        <v>188100</v>
      </c>
      <c r="R20" s="38">
        <f t="shared" si="17"/>
        <v>62700</v>
      </c>
      <c r="S20" s="40">
        <f>P20+Q20+R20</f>
        <v>1348050</v>
      </c>
      <c r="T20" s="41">
        <f>K20-O20</f>
        <v>15646031.692</v>
      </c>
      <c r="U20" s="42"/>
      <c r="V20" s="70">
        <f t="shared" si="2"/>
        <v>15574381.692</v>
      </c>
      <c r="W20" s="71">
        <v>11000000</v>
      </c>
      <c r="X20" s="71">
        <f>4400000*2</f>
        <v>8800000</v>
      </c>
      <c r="Y20" s="71">
        <f t="shared" si="19"/>
        <v>0</v>
      </c>
      <c r="Z20" s="71">
        <f t="shared" si="20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3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4879994.1340000005</v>
      </c>
      <c r="K21" s="36">
        <f t="shared" si="14"/>
        <v>16438994.134</v>
      </c>
      <c r="L21" s="37">
        <f t="shared" si="8"/>
        <v>459680</v>
      </c>
      <c r="M21" s="38">
        <f t="shared" si="9"/>
        <v>86190</v>
      </c>
      <c r="N21" s="39">
        <f t="shared" si="10"/>
        <v>57460</v>
      </c>
      <c r="O21" s="40">
        <f t="shared" si="11"/>
        <v>603330</v>
      </c>
      <c r="P21" s="38">
        <f t="shared" si="15"/>
        <v>1005549.9999999999</v>
      </c>
      <c r="Q21" s="38">
        <f t="shared" si="16"/>
        <v>172380</v>
      </c>
      <c r="R21" s="38">
        <f t="shared" si="17"/>
        <v>57460</v>
      </c>
      <c r="S21" s="40">
        <f t="shared" si="12"/>
        <v>1235390</v>
      </c>
      <c r="T21" s="41">
        <f t="shared" si="18"/>
        <v>15835664.134</v>
      </c>
      <c r="U21" s="42"/>
      <c r="V21" s="70">
        <f t="shared" si="2"/>
        <v>15708994.134</v>
      </c>
      <c r="W21" s="71">
        <v>11000000</v>
      </c>
      <c r="X21" s="71">
        <f>4400000</f>
        <v>4400000</v>
      </c>
      <c r="Y21" s="71">
        <f t="shared" si="19"/>
        <v>0</v>
      </c>
      <c r="Z21" s="71">
        <f t="shared" si="20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3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4879994.1340000005</v>
      </c>
      <c r="K22" s="36">
        <f t="shared" si="14"/>
        <v>16438994.134</v>
      </c>
      <c r="L22" s="37">
        <f t="shared" si="8"/>
        <v>459680</v>
      </c>
      <c r="M22" s="38">
        <f t="shared" si="9"/>
        <v>86190</v>
      </c>
      <c r="N22" s="39">
        <f t="shared" si="10"/>
        <v>57460</v>
      </c>
      <c r="O22" s="40">
        <f t="shared" si="11"/>
        <v>603330</v>
      </c>
      <c r="P22" s="38">
        <f t="shared" si="15"/>
        <v>1005549.9999999999</v>
      </c>
      <c r="Q22" s="38">
        <f t="shared" si="16"/>
        <v>172380</v>
      </c>
      <c r="R22" s="38">
        <f t="shared" si="17"/>
        <v>57460</v>
      </c>
      <c r="S22" s="40">
        <f t="shared" si="12"/>
        <v>1235390</v>
      </c>
      <c r="T22" s="41">
        <f t="shared" si="18"/>
        <v>15835664.134</v>
      </c>
      <c r="U22" s="42"/>
      <c r="V22" s="70">
        <f t="shared" si="2"/>
        <v>15708994.134</v>
      </c>
      <c r="W22" s="71">
        <v>11000000</v>
      </c>
      <c r="X22" s="71"/>
      <c r="Y22" s="71">
        <f t="shared" si="19"/>
        <v>4105664.1339999996</v>
      </c>
      <c r="Z22" s="71">
        <f t="shared" si="20"/>
        <v>205283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3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4879994.1340000005</v>
      </c>
      <c r="K23" s="36">
        <f t="shared" si="14"/>
        <v>16438994.134</v>
      </c>
      <c r="L23" s="37">
        <f t="shared" si="8"/>
        <v>459680</v>
      </c>
      <c r="M23" s="38">
        <f t="shared" si="9"/>
        <v>86190</v>
      </c>
      <c r="N23" s="39">
        <f t="shared" si="10"/>
        <v>57460</v>
      </c>
      <c r="O23" s="40">
        <f t="shared" si="11"/>
        <v>603330</v>
      </c>
      <c r="P23" s="38">
        <f t="shared" si="15"/>
        <v>1005549.9999999999</v>
      </c>
      <c r="Q23" s="38">
        <f t="shared" si="16"/>
        <v>172380</v>
      </c>
      <c r="R23" s="38">
        <f t="shared" si="17"/>
        <v>57460</v>
      </c>
      <c r="S23" s="40">
        <f t="shared" si="12"/>
        <v>1235390</v>
      </c>
      <c r="T23" s="41">
        <f t="shared" si="18"/>
        <v>15835664.134</v>
      </c>
      <c r="U23" s="42"/>
      <c r="V23" s="70">
        <f t="shared" si="2"/>
        <v>15708994.134</v>
      </c>
      <c r="W23" s="71">
        <v>11000000</v>
      </c>
      <c r="X23" s="71"/>
      <c r="Y23" s="71">
        <f t="shared" si="19"/>
        <v>4105664.1339999996</v>
      </c>
      <c r="Z23" s="71">
        <f>ROUND(IF(Y23&gt;80000000,((Y23-80000000)*0.35+18150000),IF(AND(Y23&gt;52000000,Y23&lt;=80000000),((Y23-52000000)*0.3+9750000),IF(AND(Y23&gt;32000000,Y23&lt;=52000000),((Y23-32000000)*0.25+4750000),IF(AND(Y23&gt;18000000,Y23&lt;=32000000),((Y23-18000000)*0.2+1950000),IF(AND(Y23&gt;10000000,Y23&lt;=18000000),((Y23-10000000)*0.15+750000),IF(AND(Y23&gt;5000000,Y23&lt;=10000000),((Y23-5000000)*0.1+250000),(Y23*0.05))))))),0)</f>
        <v>205283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3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7319991.2010000004</v>
      </c>
      <c r="K24" s="36">
        <f t="shared" si="14"/>
        <v>18039191.201000001</v>
      </c>
      <c r="L24" s="37">
        <f t="shared" si="8"/>
        <v>502112</v>
      </c>
      <c r="M24" s="38">
        <f t="shared" si="9"/>
        <v>94146</v>
      </c>
      <c r="N24" s="39">
        <f t="shared" si="10"/>
        <v>62764</v>
      </c>
      <c r="O24" s="40">
        <f t="shared" si="11"/>
        <v>659022</v>
      </c>
      <c r="P24" s="38">
        <f t="shared" si="15"/>
        <v>1098370</v>
      </c>
      <c r="Q24" s="38">
        <f t="shared" si="16"/>
        <v>188292</v>
      </c>
      <c r="R24" s="38">
        <f t="shared" si="17"/>
        <v>62764</v>
      </c>
      <c r="S24" s="40">
        <f t="shared" si="12"/>
        <v>1349426</v>
      </c>
      <c r="T24" s="41">
        <f t="shared" si="18"/>
        <v>17380169.201000001</v>
      </c>
      <c r="U24" s="42"/>
      <c r="V24" s="70">
        <f t="shared" si="2"/>
        <v>17309191.201000001</v>
      </c>
      <c r="W24" s="71">
        <v>11000000</v>
      </c>
      <c r="X24" s="71">
        <f>4400000*2</f>
        <v>8800000</v>
      </c>
      <c r="Y24" s="71">
        <f t="shared" si="19"/>
        <v>0</v>
      </c>
      <c r="Z24" s="71">
        <f t="shared" si="20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3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3727721.128</v>
      </c>
      <c r="K25" s="36">
        <f t="shared" si="14"/>
        <v>15286721.128</v>
      </c>
      <c r="L25" s="37">
        <f t="shared" si="8"/>
        <v>459680</v>
      </c>
      <c r="M25" s="38">
        <f t="shared" si="9"/>
        <v>86190</v>
      </c>
      <c r="N25" s="39">
        <f t="shared" si="10"/>
        <v>57460</v>
      </c>
      <c r="O25" s="40">
        <f t="shared" si="11"/>
        <v>603330</v>
      </c>
      <c r="P25" s="38">
        <f t="shared" si="15"/>
        <v>1005549.9999999999</v>
      </c>
      <c r="Q25" s="38">
        <f t="shared" si="16"/>
        <v>172380</v>
      </c>
      <c r="R25" s="38">
        <f t="shared" si="17"/>
        <v>57460</v>
      </c>
      <c r="S25" s="40">
        <f t="shared" si="12"/>
        <v>1235390</v>
      </c>
      <c r="T25" s="41">
        <f>K25-O25</f>
        <v>14683391.128</v>
      </c>
      <c r="U25" s="42"/>
      <c r="V25" s="70">
        <f t="shared" si="2"/>
        <v>14556721.128</v>
      </c>
      <c r="W25" s="71">
        <v>11000000</v>
      </c>
      <c r="X25" s="71"/>
      <c r="Y25" s="71">
        <f t="shared" si="19"/>
        <v>2953391.1280000005</v>
      </c>
      <c r="Z25" s="71">
        <f t="shared" si="20"/>
        <v>147670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3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4879994.1340000005</v>
      </c>
      <c r="K26" s="36">
        <f t="shared" si="14"/>
        <v>16438994.134</v>
      </c>
      <c r="L26" s="37">
        <f t="shared" si="8"/>
        <v>459680</v>
      </c>
      <c r="M26" s="38">
        <f t="shared" si="9"/>
        <v>86190</v>
      </c>
      <c r="N26" s="39">
        <f t="shared" si="10"/>
        <v>57460</v>
      </c>
      <c r="O26" s="40">
        <f t="shared" si="11"/>
        <v>603330</v>
      </c>
      <c r="P26" s="38">
        <f t="shared" si="15"/>
        <v>1005549.9999999999</v>
      </c>
      <c r="Q26" s="38">
        <f t="shared" si="16"/>
        <v>172380</v>
      </c>
      <c r="R26" s="38">
        <f t="shared" si="17"/>
        <v>57460</v>
      </c>
      <c r="S26" s="40">
        <f t="shared" si="12"/>
        <v>1235390</v>
      </c>
      <c r="T26" s="41">
        <f>K26-O26</f>
        <v>15835664.134</v>
      </c>
      <c r="U26" s="42"/>
      <c r="V26" s="70">
        <f t="shared" si="2"/>
        <v>15708994.134</v>
      </c>
      <c r="W26" s="71">
        <v>11000000</v>
      </c>
      <c r="X26" s="71"/>
      <c r="Y26" s="71">
        <f t="shared" si="19"/>
        <v>4105664.1339999996</v>
      </c>
      <c r="Z26" s="71">
        <f t="shared" si="20"/>
        <v>205283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3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3727721.128</v>
      </c>
      <c r="K27" s="36">
        <f t="shared" si="14"/>
        <v>15286721.128</v>
      </c>
      <c r="L27" s="37">
        <f t="shared" si="8"/>
        <v>459680</v>
      </c>
      <c r="M27" s="38">
        <f t="shared" si="9"/>
        <v>86190</v>
      </c>
      <c r="N27" s="39">
        <f t="shared" si="10"/>
        <v>57460</v>
      </c>
      <c r="O27" s="40">
        <f t="shared" si="11"/>
        <v>603330</v>
      </c>
      <c r="P27" s="38">
        <f t="shared" si="15"/>
        <v>1005549.9999999999</v>
      </c>
      <c r="Q27" s="38">
        <f t="shared" si="16"/>
        <v>172380</v>
      </c>
      <c r="R27" s="38">
        <f t="shared" si="17"/>
        <v>57460</v>
      </c>
      <c r="S27" s="40">
        <f t="shared" si="12"/>
        <v>1235390</v>
      </c>
      <c r="T27" s="41">
        <f t="shared" ref="T27" si="21">K27-O27</f>
        <v>14683391.128</v>
      </c>
      <c r="U27" s="42"/>
      <c r="V27" s="70">
        <f t="shared" si="2"/>
        <v>14556721.128</v>
      </c>
      <c r="W27" s="71">
        <v>11000000</v>
      </c>
      <c r="X27" s="71">
        <f>4400000*2</f>
        <v>8800000</v>
      </c>
      <c r="Y27" s="71">
        <f t="shared" si="19"/>
        <v>0</v>
      </c>
      <c r="Z27" s="71">
        <f t="shared" si="20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3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3727721.128</v>
      </c>
      <c r="K28" s="36">
        <f t="shared" si="14"/>
        <v>15286721.128</v>
      </c>
      <c r="L28" s="37">
        <f t="shared" si="8"/>
        <v>459680</v>
      </c>
      <c r="M28" s="38">
        <f t="shared" si="9"/>
        <v>86190</v>
      </c>
      <c r="N28" s="39">
        <f t="shared" si="10"/>
        <v>57460</v>
      </c>
      <c r="O28" s="40">
        <f t="shared" si="11"/>
        <v>603330</v>
      </c>
      <c r="P28" s="38">
        <f t="shared" si="15"/>
        <v>1005549.9999999999</v>
      </c>
      <c r="Q28" s="38">
        <f t="shared" si="16"/>
        <v>172380</v>
      </c>
      <c r="R28" s="38">
        <f t="shared" si="17"/>
        <v>57460</v>
      </c>
      <c r="S28" s="40">
        <f t="shared" si="12"/>
        <v>1235390</v>
      </c>
      <c r="T28" s="41">
        <f>K28-O28</f>
        <v>14683391.128</v>
      </c>
      <c r="U28" s="42"/>
      <c r="V28" s="70">
        <f t="shared" si="2"/>
        <v>14556721.128</v>
      </c>
      <c r="W28" s="71">
        <v>11000000</v>
      </c>
      <c r="X28" s="71">
        <f>4400000*2</f>
        <v>8800000</v>
      </c>
      <c r="Y28" s="71">
        <f t="shared" si="19"/>
        <v>0</v>
      </c>
      <c r="Z28" s="71">
        <f t="shared" si="20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3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5591581.6919999998</v>
      </c>
      <c r="K29" s="36">
        <f t="shared" si="14"/>
        <v>16310781.692</v>
      </c>
      <c r="L29" s="37">
        <f t="shared" si="8"/>
        <v>502112</v>
      </c>
      <c r="M29" s="38">
        <f t="shared" si="9"/>
        <v>94146</v>
      </c>
      <c r="N29" s="39">
        <f t="shared" si="10"/>
        <v>62764</v>
      </c>
      <c r="O29" s="40">
        <f t="shared" si="11"/>
        <v>659022</v>
      </c>
      <c r="P29" s="38">
        <f t="shared" si="15"/>
        <v>1098370</v>
      </c>
      <c r="Q29" s="38">
        <f t="shared" si="16"/>
        <v>188292</v>
      </c>
      <c r="R29" s="38">
        <f t="shared" si="17"/>
        <v>62764</v>
      </c>
      <c r="S29" s="40">
        <f t="shared" si="12"/>
        <v>1349426</v>
      </c>
      <c r="T29" s="41">
        <f t="shared" ref="T29:T30" si="22">K29-O29</f>
        <v>15651759.692</v>
      </c>
      <c r="U29" s="42"/>
      <c r="V29" s="70">
        <f t="shared" si="2"/>
        <v>15580781.692</v>
      </c>
      <c r="W29" s="71">
        <v>11000000</v>
      </c>
      <c r="X29" s="71">
        <f>4400000*3</f>
        <v>13200000</v>
      </c>
      <c r="Y29" s="71">
        <f t="shared" si="19"/>
        <v>0</v>
      </c>
      <c r="Z29" s="71">
        <f t="shared" si="20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3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5591581.6919999998</v>
      </c>
      <c r="K30" s="36">
        <f t="shared" si="14"/>
        <v>16310781.692</v>
      </c>
      <c r="L30" s="37">
        <f t="shared" si="8"/>
        <v>502112</v>
      </c>
      <c r="M30" s="38">
        <f t="shared" si="9"/>
        <v>94146</v>
      </c>
      <c r="N30" s="39">
        <f t="shared" si="10"/>
        <v>62764</v>
      </c>
      <c r="O30" s="40">
        <f t="shared" si="11"/>
        <v>659022</v>
      </c>
      <c r="P30" s="38">
        <f t="shared" si="15"/>
        <v>1098370</v>
      </c>
      <c r="Q30" s="38">
        <f t="shared" si="16"/>
        <v>188292</v>
      </c>
      <c r="R30" s="38">
        <f t="shared" si="17"/>
        <v>62764</v>
      </c>
      <c r="S30" s="40">
        <f t="shared" si="12"/>
        <v>1349426</v>
      </c>
      <c r="T30" s="41">
        <f t="shared" si="22"/>
        <v>15651759.692</v>
      </c>
      <c r="U30" s="42"/>
      <c r="V30" s="70">
        <f t="shared" si="2"/>
        <v>15580781.692</v>
      </c>
      <c r="W30" s="71">
        <v>11000000</v>
      </c>
      <c r="X30" s="71">
        <f>4400000</f>
        <v>4400000</v>
      </c>
      <c r="Y30" s="71">
        <f t="shared" si="19"/>
        <v>0</v>
      </c>
      <c r="Z30" s="71">
        <f t="shared" si="20"/>
        <v>0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3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3727721.128</v>
      </c>
      <c r="K31" s="36">
        <f t="shared" si="14"/>
        <v>15286721.128</v>
      </c>
      <c r="L31" s="37">
        <f t="shared" si="8"/>
        <v>459680</v>
      </c>
      <c r="M31" s="38">
        <f t="shared" si="9"/>
        <v>86190</v>
      </c>
      <c r="N31" s="39">
        <f t="shared" si="10"/>
        <v>57460</v>
      </c>
      <c r="O31" s="40">
        <f t="shared" si="11"/>
        <v>603330</v>
      </c>
      <c r="P31" s="38">
        <f t="shared" si="15"/>
        <v>1005549.9999999999</v>
      </c>
      <c r="Q31" s="38">
        <f t="shared" si="16"/>
        <v>172380</v>
      </c>
      <c r="R31" s="38">
        <f t="shared" si="17"/>
        <v>57460</v>
      </c>
      <c r="S31" s="40">
        <f t="shared" si="12"/>
        <v>1235390</v>
      </c>
      <c r="T31" s="41">
        <f>K31-O31</f>
        <v>14683391.128</v>
      </c>
      <c r="U31" s="42"/>
      <c r="V31" s="70">
        <f t="shared" si="2"/>
        <v>14556721.128</v>
      </c>
      <c r="W31" s="71">
        <v>11000000</v>
      </c>
      <c r="X31" s="71">
        <f>4400000*3</f>
        <v>13200000</v>
      </c>
      <c r="Y31" s="71">
        <f t="shared" si="19"/>
        <v>0</v>
      </c>
      <c r="Z31" s="71">
        <f t="shared" si="20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3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3727721.128</v>
      </c>
      <c r="K32" s="36">
        <f t="shared" si="14"/>
        <v>15286721.128</v>
      </c>
      <c r="L32" s="37">
        <f t="shared" si="8"/>
        <v>459680</v>
      </c>
      <c r="M32" s="38">
        <f t="shared" si="9"/>
        <v>86190</v>
      </c>
      <c r="N32" s="39">
        <f t="shared" si="10"/>
        <v>57460</v>
      </c>
      <c r="O32" s="40">
        <f t="shared" si="11"/>
        <v>603330</v>
      </c>
      <c r="P32" s="38">
        <f t="shared" si="15"/>
        <v>1005549.9999999999</v>
      </c>
      <c r="Q32" s="38">
        <f t="shared" si="16"/>
        <v>172380</v>
      </c>
      <c r="R32" s="38">
        <f t="shared" si="17"/>
        <v>57460</v>
      </c>
      <c r="S32" s="40">
        <f t="shared" si="12"/>
        <v>1235390</v>
      </c>
      <c r="T32" s="41">
        <f>K32-O32</f>
        <v>14683391.128</v>
      </c>
      <c r="U32" s="42"/>
      <c r="V32" s="70">
        <f t="shared" si="2"/>
        <v>14556721.128</v>
      </c>
      <c r="W32" s="71">
        <v>11000000</v>
      </c>
      <c r="X32" s="71">
        <f>4400000*3</f>
        <v>13200000</v>
      </c>
      <c r="Y32" s="71">
        <f t="shared" si="19"/>
        <v>0</v>
      </c>
      <c r="Z32" s="71">
        <f t="shared" si="20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3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4879994.1340000005</v>
      </c>
      <c r="K33" s="36">
        <f t="shared" si="14"/>
        <v>16438994.134</v>
      </c>
      <c r="L33" s="37">
        <f t="shared" si="8"/>
        <v>459680</v>
      </c>
      <c r="M33" s="38">
        <f t="shared" si="9"/>
        <v>86190</v>
      </c>
      <c r="N33" s="39">
        <f t="shared" si="10"/>
        <v>57460</v>
      </c>
      <c r="O33" s="40">
        <f t="shared" si="11"/>
        <v>603330</v>
      </c>
      <c r="P33" s="38">
        <f t="shared" si="15"/>
        <v>1005549.9999999999</v>
      </c>
      <c r="Q33" s="38">
        <f t="shared" si="16"/>
        <v>172380</v>
      </c>
      <c r="R33" s="38">
        <f t="shared" si="17"/>
        <v>57460</v>
      </c>
      <c r="S33" s="40">
        <f t="shared" si="12"/>
        <v>1235390</v>
      </c>
      <c r="T33" s="41">
        <f>K33-O33</f>
        <v>15835664.134</v>
      </c>
      <c r="U33" s="42"/>
      <c r="V33" s="70">
        <f t="shared" si="2"/>
        <v>15708994.134</v>
      </c>
      <c r="W33" s="71">
        <v>11000000</v>
      </c>
      <c r="X33" s="71"/>
      <c r="Y33" s="71">
        <f t="shared" si="19"/>
        <v>4105664.1339999996</v>
      </c>
      <c r="Z33" s="71">
        <f>ROUND(IF(Y33&gt;80000000,((Y33-80000000)*0.35+18150000),IF(AND(Y33&gt;52000000,Y33&lt;=80000000),((Y33-52000000)*0.3+9750000),IF(AND(Y33&gt;32000000,Y33&lt;=52000000),((Y33-32000000)*0.25+4750000),IF(AND(Y33&gt;18000000,Y33&lt;=32000000),((Y33-18000000)*0.2+1950000),IF(AND(Y33&gt;10000000,Y33&lt;=18000000),((Y33-10000000)*0.15+750000),IF(AND(Y33&gt;5000000,Y33&lt;=10000000),((Y33-5000000)*0.1+250000),(Y33*0.05))))))),0)</f>
        <v>205283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3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6523511.9740000004</v>
      </c>
      <c r="K34" s="36">
        <f t="shared" si="14"/>
        <v>19034111.973999999</v>
      </c>
      <c r="L34" s="37">
        <f t="shared" si="8"/>
        <v>634816</v>
      </c>
      <c r="M34" s="38">
        <f t="shared" si="9"/>
        <v>119028</v>
      </c>
      <c r="N34" s="39">
        <f t="shared" si="10"/>
        <v>79352</v>
      </c>
      <c r="O34" s="40">
        <f t="shared" si="11"/>
        <v>833196</v>
      </c>
      <c r="P34" s="38">
        <f t="shared" si="15"/>
        <v>1388660</v>
      </c>
      <c r="Q34" s="38">
        <f t="shared" si="16"/>
        <v>238056</v>
      </c>
      <c r="R34" s="38">
        <f t="shared" si="17"/>
        <v>79352</v>
      </c>
      <c r="S34" s="40">
        <f t="shared" si="12"/>
        <v>1706068</v>
      </c>
      <c r="T34" s="41">
        <f>K34-O34</f>
        <v>18200915.973999999</v>
      </c>
      <c r="U34" s="42"/>
      <c r="V34" s="70">
        <f t="shared" si="2"/>
        <v>18304111.973999999</v>
      </c>
      <c r="W34" s="71">
        <v>11000000</v>
      </c>
      <c r="X34" s="71"/>
      <c r="Y34" s="71">
        <f t="shared" si="19"/>
        <v>6470915.9739999995</v>
      </c>
      <c r="Z34" s="71">
        <f t="shared" si="20"/>
        <v>397092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ref="D35" si="23">F35+G35</f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4879994.1340000005</v>
      </c>
      <c r="K35" s="36">
        <f t="shared" si="14"/>
        <v>15911194.134</v>
      </c>
      <c r="L35" s="37">
        <f t="shared" ref="L35" si="24">D35*8%</f>
        <v>527072</v>
      </c>
      <c r="M35" s="38">
        <f t="shared" ref="M35" si="25">D35*1.5%</f>
        <v>98826</v>
      </c>
      <c r="N35" s="39">
        <f t="shared" ref="N35" si="26">D35*1%</f>
        <v>65884</v>
      </c>
      <c r="O35" s="40">
        <f>L35+M35+N35</f>
        <v>691782</v>
      </c>
      <c r="P35" s="38">
        <f>D35*17.5%</f>
        <v>1152970</v>
      </c>
      <c r="Q35" s="38">
        <f t="shared" ref="Q35" si="27">D35*3%</f>
        <v>197652</v>
      </c>
      <c r="R35" s="38">
        <f t="shared" si="17"/>
        <v>65884</v>
      </c>
      <c r="S35" s="40">
        <f t="shared" ref="S35" si="28">P35+Q35+R35</f>
        <v>1416506</v>
      </c>
      <c r="T35" s="41">
        <f t="shared" ref="T35" si="29">K35-O35</f>
        <v>15219412.134</v>
      </c>
      <c r="U35" s="42"/>
      <c r="V35" s="70">
        <f t="shared" si="2"/>
        <v>15181194.134</v>
      </c>
      <c r="W35" s="71">
        <v>11000000</v>
      </c>
      <c r="X35" s="71"/>
      <c r="Y35" s="71">
        <f t="shared" si="19"/>
        <v>3489412.1339999996</v>
      </c>
      <c r="Z35" s="71">
        <f t="shared" si="20"/>
        <v>174471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ref="D36" si="30">F36+G36</f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7319991.2010000004</v>
      </c>
      <c r="K36" s="36">
        <f t="shared" si="14"/>
        <v>18351191.201000001</v>
      </c>
      <c r="L36" s="37">
        <f t="shared" ref="L36" si="31">D36*8%</f>
        <v>527072</v>
      </c>
      <c r="M36" s="38">
        <f t="shared" ref="M36" si="32">D36*1.5%</f>
        <v>98826</v>
      </c>
      <c r="N36" s="39">
        <f t="shared" ref="N36" si="33">D36*1%</f>
        <v>65884</v>
      </c>
      <c r="O36" s="40">
        <f>L36+M36+N36</f>
        <v>691782</v>
      </c>
      <c r="P36" s="38">
        <f>D36*17.5%</f>
        <v>1152970</v>
      </c>
      <c r="Q36" s="38">
        <f t="shared" ref="Q36" si="34">D36*3%</f>
        <v>197652</v>
      </c>
      <c r="R36" s="38">
        <f t="shared" ref="R36" si="35">D36*1%</f>
        <v>65884</v>
      </c>
      <c r="S36" s="40">
        <f t="shared" ref="S36" si="36">P36+Q36+R36</f>
        <v>1416506</v>
      </c>
      <c r="T36" s="41">
        <f t="shared" ref="T36" si="37">K36-O36</f>
        <v>17659409.201000001</v>
      </c>
      <c r="U36" s="42"/>
      <c r="V36" s="70">
        <f t="shared" si="2"/>
        <v>17621191.201000001</v>
      </c>
      <c r="W36" s="71">
        <v>11000000</v>
      </c>
      <c r="X36" s="71">
        <f>4400000</f>
        <v>4400000</v>
      </c>
      <c r="Y36" s="71">
        <f t="shared" si="19"/>
        <v>1529409.2010000013</v>
      </c>
      <c r="Z36" s="71">
        <f t="shared" si="20"/>
        <v>76470</v>
      </c>
    </row>
    <row r="37" spans="1:26" s="53" customFormat="1" ht="21.75" customHeight="1" x14ac:dyDescent="0.25">
      <c r="A37" s="29"/>
      <c r="B37" s="30"/>
      <c r="C37" s="31"/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70"/>
      <c r="W37" s="71"/>
      <c r="X37" s="71"/>
      <c r="Y37" s="71"/>
      <c r="Z37" s="71"/>
    </row>
    <row r="38" spans="1:26" s="53" customFormat="1" ht="21.75" customHeight="1" x14ac:dyDescent="0.25">
      <c r="A38" s="29"/>
      <c r="B38" s="30"/>
      <c r="C38" s="31"/>
      <c r="D38" s="32"/>
      <c r="E38" s="33"/>
      <c r="F38" s="34"/>
      <c r="G38" s="34"/>
      <c r="H38" s="35"/>
      <c r="I38" s="35"/>
      <c r="J38" s="35"/>
      <c r="K38" s="36"/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 t="shared" ref="D43:U43" si="38">SUM(D44:D49)</f>
        <v>39974600</v>
      </c>
      <c r="E43" s="51">
        <f t="shared" si="38"/>
        <v>156</v>
      </c>
      <c r="F43" s="51">
        <f t="shared" si="38"/>
        <v>33030200</v>
      </c>
      <c r="G43" s="51">
        <f t="shared" si="38"/>
        <v>6944400</v>
      </c>
      <c r="H43" s="51">
        <f t="shared" si="38"/>
        <v>22763000</v>
      </c>
      <c r="I43" s="51">
        <f t="shared" si="38"/>
        <v>4380000</v>
      </c>
      <c r="J43" s="51">
        <f t="shared" si="38"/>
        <v>0</v>
      </c>
      <c r="K43" s="51">
        <f>SUM(K44:K49)</f>
        <v>67117600</v>
      </c>
      <c r="L43" s="51">
        <f t="shared" si="38"/>
        <v>3197968</v>
      </c>
      <c r="M43" s="51">
        <f t="shared" si="38"/>
        <v>599619</v>
      </c>
      <c r="N43" s="51">
        <f t="shared" si="38"/>
        <v>399746</v>
      </c>
      <c r="O43" s="51">
        <f t="shared" si="38"/>
        <v>4197333</v>
      </c>
      <c r="P43" s="51">
        <f t="shared" si="38"/>
        <v>6995555</v>
      </c>
      <c r="Q43" s="51">
        <f t="shared" si="38"/>
        <v>1199238</v>
      </c>
      <c r="R43" s="51">
        <f t="shared" si="38"/>
        <v>399746</v>
      </c>
      <c r="S43" s="51">
        <f t="shared" si="38"/>
        <v>8594539</v>
      </c>
      <c r="T43" s="51">
        <f t="shared" si="38"/>
        <v>62920267</v>
      </c>
      <c r="U43" s="51">
        <f t="shared" si="38"/>
        <v>0</v>
      </c>
      <c r="V43" s="51">
        <f>SUM(V44:V49)</f>
        <v>62737600</v>
      </c>
      <c r="W43" s="51">
        <f t="shared" ref="W43:Z43" si="39">SUM(W44:W49)</f>
        <v>66000000</v>
      </c>
      <c r="X43" s="51">
        <f t="shared" si="39"/>
        <v>4400000</v>
      </c>
      <c r="Y43" s="51">
        <f t="shared" si="39"/>
        <v>1869493</v>
      </c>
      <c r="Z43" s="51">
        <f t="shared" si="39"/>
        <v>93475</v>
      </c>
    </row>
    <row r="44" spans="1:26" s="26" customFormat="1" ht="17.25" customHeight="1" x14ac:dyDescent="0.25">
      <c r="A44" s="29">
        <v>24</v>
      </c>
      <c r="B44" s="30" t="s">
        <v>42</v>
      </c>
      <c r="C44" s="31" t="s">
        <v>41</v>
      </c>
      <c r="D44" s="43">
        <f t="shared" ref="D44:D46" si="40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46" si="41">D44*8%</f>
        <v>443632</v>
      </c>
      <c r="M44" s="38">
        <f t="shared" ref="M44:M46" si="42">D44*1.5%</f>
        <v>83181</v>
      </c>
      <c r="N44" s="39">
        <f t="shared" ref="N44:N46" si="43">D44*1%</f>
        <v>55454</v>
      </c>
      <c r="O44" s="40">
        <f t="shared" ref="O44:O46" si="44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46" si="45">P44+Q44+R44</f>
        <v>1192261</v>
      </c>
      <c r="T44" s="41">
        <f t="shared" ref="T44:T46" si="46">K44-O44</f>
        <v>9450133</v>
      </c>
      <c r="U44" s="42"/>
      <c r="V44" s="70">
        <f t="shared" si="2"/>
        <v>9302400</v>
      </c>
      <c r="W44" s="71">
        <v>11000000</v>
      </c>
      <c r="X44" s="71"/>
      <c r="Y44" s="71">
        <f t="shared" si="19"/>
        <v>0</v>
      </c>
      <c r="Z44" s="71">
        <f t="shared" si="20"/>
        <v>0</v>
      </c>
    </row>
    <row r="45" spans="1:26" s="26" customFormat="1" ht="17.25" customHeight="1" x14ac:dyDescent="0.25">
      <c r="A45" s="29">
        <v>25</v>
      </c>
      <c r="B45" s="30" t="s">
        <v>79</v>
      </c>
      <c r="C45" s="31" t="s">
        <v>40</v>
      </c>
      <c r="D45" s="43">
        <f t="shared" si="40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49" si="47">F45+G45+H45+I45+J45</f>
        <v>10542400</v>
      </c>
      <c r="L45" s="37">
        <f t="shared" si="41"/>
        <v>484432</v>
      </c>
      <c r="M45" s="38">
        <f t="shared" si="42"/>
        <v>90831</v>
      </c>
      <c r="N45" s="39">
        <f t="shared" si="43"/>
        <v>60554</v>
      </c>
      <c r="O45" s="40">
        <f t="shared" si="44"/>
        <v>635817</v>
      </c>
      <c r="P45" s="38">
        <f t="shared" ref="P45:P48" si="48">D45*17.5%</f>
        <v>1059695</v>
      </c>
      <c r="Q45" s="38">
        <f t="shared" ref="Q45:Q46" si="49">D45*3%</f>
        <v>181662</v>
      </c>
      <c r="R45" s="38">
        <f t="shared" ref="R45:R49" si="50">D45*1%</f>
        <v>60554</v>
      </c>
      <c r="S45" s="40">
        <f t="shared" si="45"/>
        <v>1301911</v>
      </c>
      <c r="T45" s="41">
        <f t="shared" si="46"/>
        <v>9906583</v>
      </c>
      <c r="U45" s="42"/>
      <c r="V45" s="70">
        <f t="shared" si="2"/>
        <v>9812400</v>
      </c>
      <c r="W45" s="71">
        <v>11000000</v>
      </c>
      <c r="X45" s="71">
        <f>4400000</f>
        <v>4400000</v>
      </c>
      <c r="Y45" s="71">
        <f t="shared" si="19"/>
        <v>0</v>
      </c>
      <c r="Z45" s="71">
        <f t="shared" si="20"/>
        <v>0</v>
      </c>
    </row>
    <row r="46" spans="1:26" s="14" customFormat="1" ht="19.5" customHeight="1" x14ac:dyDescent="0.25">
      <c r="A46" s="29">
        <v>26</v>
      </c>
      <c r="B46" s="30" t="s">
        <v>81</v>
      </c>
      <c r="C46" s="31" t="s">
        <v>41</v>
      </c>
      <c r="D46" s="43">
        <f t="shared" si="40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47"/>
        <v>10233000</v>
      </c>
      <c r="L46" s="37">
        <f t="shared" si="41"/>
        <v>459680</v>
      </c>
      <c r="M46" s="38">
        <f t="shared" si="42"/>
        <v>86190</v>
      </c>
      <c r="N46" s="39">
        <f t="shared" si="43"/>
        <v>57460</v>
      </c>
      <c r="O46" s="40">
        <f t="shared" si="44"/>
        <v>603330</v>
      </c>
      <c r="P46" s="38">
        <f t="shared" si="48"/>
        <v>1005549.9999999999</v>
      </c>
      <c r="Q46" s="38">
        <f t="shared" si="49"/>
        <v>172380</v>
      </c>
      <c r="R46" s="38">
        <f t="shared" si="50"/>
        <v>57460</v>
      </c>
      <c r="S46" s="40">
        <f t="shared" si="45"/>
        <v>1235390</v>
      </c>
      <c r="T46" s="41">
        <f t="shared" si="46"/>
        <v>9629670</v>
      </c>
      <c r="U46" s="42"/>
      <c r="V46" s="70">
        <f t="shared" si="2"/>
        <v>9503000</v>
      </c>
      <c r="W46" s="71">
        <v>11000000</v>
      </c>
      <c r="X46" s="71"/>
      <c r="Y46" s="71">
        <f t="shared" si="19"/>
        <v>0</v>
      </c>
      <c r="Z46" s="71">
        <f t="shared" si="20"/>
        <v>0</v>
      </c>
    </row>
    <row r="47" spans="1:26" s="14" customFormat="1" ht="19.5" customHeight="1" x14ac:dyDescent="0.25">
      <c r="A47" s="62">
        <v>27</v>
      </c>
      <c r="B47" s="30" t="s">
        <v>100</v>
      </c>
      <c r="C47" s="31" t="s">
        <v>117</v>
      </c>
      <c r="D47" s="43">
        <f t="shared" ref="D47:D49" si="51">F47+G47</f>
        <v>10033400</v>
      </c>
      <c r="E47" s="33">
        <v>26</v>
      </c>
      <c r="F47" s="34">
        <v>8840000</v>
      </c>
      <c r="G47" s="34">
        <v>1193400</v>
      </c>
      <c r="H47" s="35">
        <v>3889600</v>
      </c>
      <c r="I47" s="35">
        <v>730000</v>
      </c>
      <c r="J47" s="35"/>
      <c r="K47" s="36">
        <f>F47+G47+H47+I47+J47</f>
        <v>14653000</v>
      </c>
      <c r="L47" s="37">
        <f t="shared" ref="L47:L49" si="52">D47*8%</f>
        <v>802672</v>
      </c>
      <c r="M47" s="38">
        <f t="shared" ref="M47:M49" si="53">D47*1.5%</f>
        <v>150501</v>
      </c>
      <c r="N47" s="39">
        <f t="shared" ref="N47:N49" si="54">D47*1%</f>
        <v>100334</v>
      </c>
      <c r="O47" s="40">
        <f t="shared" ref="O47:O49" si="55">L47+M47+N47</f>
        <v>1053507</v>
      </c>
      <c r="P47" s="38">
        <f t="shared" si="48"/>
        <v>1755845</v>
      </c>
      <c r="Q47" s="38">
        <f t="shared" ref="Q47:Q49" si="56">D47*3%</f>
        <v>301002</v>
      </c>
      <c r="R47" s="38">
        <f t="shared" si="50"/>
        <v>100334</v>
      </c>
      <c r="S47" s="40">
        <f t="shared" ref="S47:S49" si="57">P47+Q47+R47</f>
        <v>2157181</v>
      </c>
      <c r="T47" s="41">
        <f>K47-O47</f>
        <v>13599493</v>
      </c>
      <c r="U47" s="42"/>
      <c r="V47" s="70">
        <f t="shared" si="2"/>
        <v>13923000</v>
      </c>
      <c r="W47" s="71">
        <v>11000000</v>
      </c>
      <c r="X47" s="71"/>
      <c r="Y47" s="71">
        <f>MAX(V47-O47-W47-X47,0)</f>
        <v>1869493</v>
      </c>
      <c r="Z47" s="71">
        <f t="shared" si="20"/>
        <v>93475</v>
      </c>
    </row>
    <row r="48" spans="1:26" s="14" customFormat="1" ht="19.5" customHeight="1" x14ac:dyDescent="0.25">
      <c r="A48" s="29">
        <v>28</v>
      </c>
      <c r="B48" s="64" t="s">
        <v>105</v>
      </c>
      <c r="C48" s="31" t="s">
        <v>40</v>
      </c>
      <c r="D48" s="43">
        <f t="shared" si="51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47"/>
        <v>10828400</v>
      </c>
      <c r="L48" s="37">
        <f t="shared" si="52"/>
        <v>503776</v>
      </c>
      <c r="M48" s="38">
        <f t="shared" si="53"/>
        <v>94458</v>
      </c>
      <c r="N48" s="39">
        <f t="shared" si="54"/>
        <v>62972</v>
      </c>
      <c r="O48" s="40">
        <f t="shared" si="55"/>
        <v>661206</v>
      </c>
      <c r="P48" s="38">
        <f t="shared" si="48"/>
        <v>1102010</v>
      </c>
      <c r="Q48" s="38">
        <f t="shared" si="56"/>
        <v>188916</v>
      </c>
      <c r="R48" s="38">
        <f t="shared" si="50"/>
        <v>62972</v>
      </c>
      <c r="S48" s="40">
        <f t="shared" si="57"/>
        <v>1353898</v>
      </c>
      <c r="T48" s="41">
        <f>K48-O48</f>
        <v>10167194</v>
      </c>
      <c r="U48" s="42"/>
      <c r="V48" s="70">
        <f t="shared" si="2"/>
        <v>10098400</v>
      </c>
      <c r="W48" s="71">
        <v>11000000</v>
      </c>
      <c r="X48" s="71"/>
      <c r="Y48" s="71">
        <f t="shared" si="19"/>
        <v>0</v>
      </c>
      <c r="Z48" s="71">
        <f t="shared" si="20"/>
        <v>0</v>
      </c>
    </row>
    <row r="49" spans="1:26" s="14" customFormat="1" ht="19.5" customHeight="1" x14ac:dyDescent="0.25">
      <c r="A49" s="62">
        <v>29</v>
      </c>
      <c r="B49" s="30" t="s">
        <v>106</v>
      </c>
      <c r="C49" s="31" t="s">
        <v>40</v>
      </c>
      <c r="D49" s="43">
        <f t="shared" si="51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47"/>
        <v>10828400</v>
      </c>
      <c r="L49" s="37">
        <f t="shared" si="52"/>
        <v>503776</v>
      </c>
      <c r="M49" s="38">
        <f t="shared" si="53"/>
        <v>94458</v>
      </c>
      <c r="N49" s="39">
        <f t="shared" si="54"/>
        <v>62972</v>
      </c>
      <c r="O49" s="40">
        <f t="shared" si="55"/>
        <v>661206</v>
      </c>
      <c r="P49" s="38">
        <f>D49*17.5%</f>
        <v>1102010</v>
      </c>
      <c r="Q49" s="38">
        <f t="shared" si="56"/>
        <v>188916</v>
      </c>
      <c r="R49" s="38">
        <f t="shared" si="50"/>
        <v>62972</v>
      </c>
      <c r="S49" s="40">
        <f t="shared" si="57"/>
        <v>1353898</v>
      </c>
      <c r="T49" s="41">
        <f>K49-O49</f>
        <v>10167194</v>
      </c>
      <c r="U49" s="42"/>
      <c r="V49" s="70">
        <f t="shared" si="2"/>
        <v>10098400</v>
      </c>
      <c r="W49" s="71">
        <v>11000000</v>
      </c>
      <c r="X49" s="71"/>
      <c r="Y49" s="71">
        <f t="shared" si="19"/>
        <v>0</v>
      </c>
      <c r="Z49" s="71">
        <f t="shared" si="20"/>
        <v>0</v>
      </c>
    </row>
    <row r="50" spans="1:26" s="14" customFormat="1" ht="19.5" customHeight="1" x14ac:dyDescent="0.25">
      <c r="A50" s="62"/>
      <c r="B50" s="64"/>
      <c r="C50" s="31"/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70"/>
      <c r="W50" s="71"/>
      <c r="X50" s="71"/>
      <c r="Y50" s="71"/>
      <c r="Z50" s="71"/>
    </row>
    <row r="51" spans="1:26" s="14" customFormat="1" ht="19.5" customHeight="1" x14ac:dyDescent="0.25">
      <c r="A51" s="62"/>
      <c r="B51" s="64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70"/>
      <c r="W51" s="71"/>
      <c r="X51" s="71"/>
      <c r="Y51" s="71"/>
      <c r="Z51" s="71"/>
    </row>
    <row r="52" spans="1:26" s="14" customFormat="1" ht="17.25" customHeight="1" x14ac:dyDescent="0.25">
      <c r="A52" s="95" t="s">
        <v>43</v>
      </c>
      <c r="B52" s="96"/>
      <c r="C52" s="46"/>
      <c r="D52" s="47">
        <f t="shared" ref="D52:U52" si="58">D11+D13+D15+D43</f>
        <v>192185200</v>
      </c>
      <c r="E52" s="47">
        <f t="shared" si="58"/>
        <v>754</v>
      </c>
      <c r="F52" s="47">
        <f t="shared" si="58"/>
        <v>158175600</v>
      </c>
      <c r="G52" s="47">
        <f t="shared" si="58"/>
        <v>34009600</v>
      </c>
      <c r="H52" s="47">
        <f t="shared" si="58"/>
        <v>119870400</v>
      </c>
      <c r="I52" s="47">
        <f>I11+I13+I15+I43</f>
        <v>20440000</v>
      </c>
      <c r="J52" s="47">
        <f>J11+J13+J15+J43</f>
        <v>113916776.16650005</v>
      </c>
      <c r="K52" s="47">
        <f t="shared" si="58"/>
        <v>433247176.16649997</v>
      </c>
      <c r="L52" s="47">
        <f t="shared" si="58"/>
        <v>15374816</v>
      </c>
      <c r="M52" s="47">
        <f t="shared" si="58"/>
        <v>2882778</v>
      </c>
      <c r="N52" s="47">
        <f t="shared" si="58"/>
        <v>1921852</v>
      </c>
      <c r="O52" s="47">
        <f t="shared" si="58"/>
        <v>20179446</v>
      </c>
      <c r="P52" s="47">
        <f t="shared" si="58"/>
        <v>33632410</v>
      </c>
      <c r="Q52" s="47">
        <f t="shared" si="58"/>
        <v>5765556</v>
      </c>
      <c r="R52" s="47">
        <f t="shared" si="58"/>
        <v>1921852</v>
      </c>
      <c r="S52" s="47">
        <f t="shared" si="58"/>
        <v>41319818</v>
      </c>
      <c r="T52" s="47">
        <f t="shared" si="58"/>
        <v>414450076.16649997</v>
      </c>
      <c r="U52" s="47">
        <f t="shared" si="58"/>
        <v>0</v>
      </c>
      <c r="V52" s="47">
        <f>V11+V13+V15+V43</f>
        <v>412807176.16649991</v>
      </c>
      <c r="W52" s="47">
        <f t="shared" ref="W52:Y52" si="59">W11+W13+W15+W43</f>
        <v>308000000</v>
      </c>
      <c r="X52" s="47">
        <f t="shared" si="59"/>
        <v>101200000</v>
      </c>
      <c r="Y52" s="47">
        <f t="shared" si="59"/>
        <v>48810353.243500009</v>
      </c>
      <c r="Z52" s="47">
        <f>Z11+Z13+Z15+Z43</f>
        <v>2607285</v>
      </c>
    </row>
    <row r="53" spans="1:26" s="17" customFormat="1" ht="12.7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110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2.75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8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2.75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8">
        <f>L52+P52+'T2'!L52+'T2'!P52</f>
        <v>96549222</v>
      </c>
      <c r="R56" s="18">
        <f>M52+Q52+'T2'!M52+'T2'!Q52</f>
        <v>17296668</v>
      </c>
      <c r="S56" s="18">
        <f>N52+R52+'T2'!N52+'T2'!R52</f>
        <v>7572488</v>
      </c>
      <c r="T56" s="18">
        <f>O52+S52+'T2'!O52+'T2'!S52</f>
        <v>121418378</v>
      </c>
      <c r="U56" s="16"/>
      <c r="W56" s="72"/>
      <c r="X56" s="72"/>
      <c r="Y56" s="72"/>
      <c r="Z56" s="72"/>
    </row>
    <row r="57" spans="1:26" s="17" customFormat="1" ht="12.75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W8:W9"/>
    <mergeCell ref="Y8:Y9"/>
    <mergeCell ref="Z8:Z9"/>
    <mergeCell ref="X8:X9"/>
    <mergeCell ref="U8:U9"/>
    <mergeCell ref="A15:C15"/>
    <mergeCell ref="A43:C43"/>
    <mergeCell ref="A52:B52"/>
    <mergeCell ref="N54:T54"/>
    <mergeCell ref="A11:C11"/>
    <mergeCell ref="N53:T53"/>
    <mergeCell ref="A13:C13"/>
    <mergeCell ref="J8:J9"/>
    <mergeCell ref="V8:V9"/>
    <mergeCell ref="N55:T55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C46" workbookViewId="0">
      <selection activeCell="Z43" sqref="Z43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0.71093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152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9" t="s">
        <v>15</v>
      </c>
      <c r="H9" s="79" t="s">
        <v>16</v>
      </c>
      <c r="I9" s="79" t="s">
        <v>17</v>
      </c>
      <c r="J9" s="82"/>
      <c r="K9" s="88"/>
      <c r="L9" s="78" t="s">
        <v>18</v>
      </c>
      <c r="M9" s="78" t="s">
        <v>19</v>
      </c>
      <c r="N9" s="78" t="s">
        <v>20</v>
      </c>
      <c r="O9" s="79" t="s">
        <v>21</v>
      </c>
      <c r="P9" s="78" t="s">
        <v>87</v>
      </c>
      <c r="Q9" s="78" t="s">
        <v>22</v>
      </c>
      <c r="R9" s="78" t="s">
        <v>20</v>
      </c>
      <c r="S9" s="79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1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SUM(D16:D42)</f>
        <v>145539400</v>
      </c>
      <c r="E15" s="51">
        <f t="shared" ref="E15:Z15" si="3">SUM(E16:E42)</f>
        <v>650</v>
      </c>
      <c r="F15" s="51">
        <f t="shared" si="3"/>
        <v>165465400</v>
      </c>
      <c r="G15" s="51">
        <f t="shared" si="3"/>
        <v>25074000</v>
      </c>
      <c r="H15" s="51">
        <f t="shared" si="3"/>
        <v>104179400</v>
      </c>
      <c r="I15" s="51">
        <f t="shared" si="3"/>
        <v>17520000</v>
      </c>
      <c r="J15" s="51">
        <f t="shared" si="3"/>
        <v>97195813.490999997</v>
      </c>
      <c r="K15" s="51">
        <f t="shared" si="3"/>
        <v>409434613.491</v>
      </c>
      <c r="L15" s="51">
        <f t="shared" si="3"/>
        <v>11643152</v>
      </c>
      <c r="M15" s="51">
        <f t="shared" si="3"/>
        <v>2183091</v>
      </c>
      <c r="N15" s="51">
        <f t="shared" si="3"/>
        <v>1455394</v>
      </c>
      <c r="O15" s="51">
        <f t="shared" si="3"/>
        <v>15281637</v>
      </c>
      <c r="P15" s="51">
        <f t="shared" si="3"/>
        <v>25469395</v>
      </c>
      <c r="Q15" s="51">
        <f t="shared" si="3"/>
        <v>4366182</v>
      </c>
      <c r="R15" s="51">
        <f t="shared" si="3"/>
        <v>1455394</v>
      </c>
      <c r="S15" s="51">
        <f t="shared" si="3"/>
        <v>31290971</v>
      </c>
      <c r="T15" s="51">
        <f t="shared" si="3"/>
        <v>394152976.491</v>
      </c>
      <c r="U15" s="51">
        <f t="shared" si="3"/>
        <v>0</v>
      </c>
      <c r="V15" s="51">
        <f t="shared" si="3"/>
        <v>391914613.491</v>
      </c>
      <c r="W15" s="51">
        <f t="shared" si="3"/>
        <v>264000000</v>
      </c>
      <c r="X15" s="51">
        <f t="shared" si="3"/>
        <v>101200000</v>
      </c>
      <c r="Y15" s="51">
        <f t="shared" si="3"/>
        <v>69733392.975999996</v>
      </c>
      <c r="Z15" s="51">
        <f t="shared" si="3"/>
        <v>5736673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4928000</v>
      </c>
      <c r="K16" s="36">
        <f>F16+G16+H16+I16+J16</f>
        <v>15640800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8">P16+Q16+R16</f>
        <v>1348050</v>
      </c>
      <c r="T16" s="41">
        <f>K16-O16</f>
        <v>14982450</v>
      </c>
      <c r="U16" s="42"/>
      <c r="V16" s="70">
        <f>K16-I16</f>
        <v>14910800</v>
      </c>
      <c r="W16" s="71">
        <v>11000000</v>
      </c>
      <c r="X16" s="71"/>
      <c r="Y16" s="71">
        <f>MAX(V16-O16-W16-X16,0)</f>
        <v>3252450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162623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9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4928000</v>
      </c>
      <c r="K17" s="36">
        <f t="shared" ref="K17:K42" si="10">F17+G17+H17+I17+J17</f>
        <v>15115200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8"/>
        <v>1235046</v>
      </c>
      <c r="T17" s="41">
        <f t="shared" ref="T17:T24" si="14">K17-O17</f>
        <v>14512038</v>
      </c>
      <c r="U17" s="42"/>
      <c r="V17" s="70">
        <f t="shared" si="1"/>
        <v>14385200</v>
      </c>
      <c r="W17" s="71">
        <v>11000000</v>
      </c>
      <c r="X17" s="71">
        <f>4400000</f>
        <v>4400000</v>
      </c>
      <c r="Y17" s="71">
        <f t="shared" ref="Y17:Y48" si="15">MAX(V17-O17-W17-X17,0)</f>
        <v>0</v>
      </c>
      <c r="Z17" s="71">
        <f t="shared" ref="Z17:Z48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9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4928000</v>
      </c>
      <c r="K18" s="36">
        <f t="shared" si="10"/>
        <v>15115200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8"/>
        <v>1235046</v>
      </c>
      <c r="T18" s="41">
        <f t="shared" si="14"/>
        <v>14512038</v>
      </c>
      <c r="U18" s="42"/>
      <c r="V18" s="70">
        <f t="shared" si="1"/>
        <v>14385200</v>
      </c>
      <c r="W18" s="71">
        <v>11000000</v>
      </c>
      <c r="X18" s="71">
        <f>4400000</f>
        <v>4400000</v>
      </c>
      <c r="Y18" s="71">
        <f t="shared" si="15"/>
        <v>0</v>
      </c>
      <c r="Z18" s="71">
        <f t="shared" si="16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2816000</v>
      </c>
      <c r="K19" s="36">
        <f t="shared" si="10"/>
        <v>14174400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13592133</v>
      </c>
      <c r="U19" s="42"/>
      <c r="V19" s="70">
        <f t="shared" si="1"/>
        <v>13444400</v>
      </c>
      <c r="W19" s="71">
        <v>11000000</v>
      </c>
      <c r="X19" s="71"/>
      <c r="Y19" s="71">
        <f t="shared" si="15"/>
        <v>1862133</v>
      </c>
      <c r="Z19" s="71">
        <f t="shared" si="16"/>
        <v>93107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5452834.9850000003</v>
      </c>
      <c r="K20" s="36">
        <f t="shared" si="10"/>
        <v>16165634.984999999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15507284.984999999</v>
      </c>
      <c r="U20" s="42"/>
      <c r="V20" s="70">
        <f t="shared" si="1"/>
        <v>15435634.984999999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9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2816000</v>
      </c>
      <c r="K21" s="36">
        <f t="shared" si="10"/>
        <v>14375000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8"/>
        <v>1235390</v>
      </c>
      <c r="T21" s="41">
        <f t="shared" si="14"/>
        <v>13771670</v>
      </c>
      <c r="U21" s="42"/>
      <c r="V21" s="70">
        <f t="shared" si="1"/>
        <v>13645000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2816000</v>
      </c>
      <c r="K22" s="36">
        <f t="shared" si="10"/>
        <v>14375000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13771670</v>
      </c>
      <c r="U22" s="42"/>
      <c r="V22" s="70">
        <f t="shared" si="1"/>
        <v>13645000</v>
      </c>
      <c r="W22" s="71">
        <v>11000000</v>
      </c>
      <c r="X22" s="71"/>
      <c r="Y22" s="71">
        <f t="shared" si="15"/>
        <v>2041670</v>
      </c>
      <c r="Z22" s="71">
        <f t="shared" si="16"/>
        <v>102084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2816000</v>
      </c>
      <c r="K23" s="36">
        <f t="shared" si="10"/>
        <v>14375000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13771670</v>
      </c>
      <c r="U23" s="42"/>
      <c r="V23" s="70">
        <f t="shared" si="1"/>
        <v>13645000</v>
      </c>
      <c r="W23" s="71">
        <v>11000000</v>
      </c>
      <c r="X23" s="71"/>
      <c r="Y23" s="71">
        <f t="shared" si="15"/>
        <v>2041670</v>
      </c>
      <c r="Z23" s="71">
        <f t="shared" si="16"/>
        <v>102084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9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4928000</v>
      </c>
      <c r="K24" s="36">
        <f t="shared" si="10"/>
        <v>15647200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8"/>
        <v>1349426</v>
      </c>
      <c r="T24" s="41">
        <f t="shared" si="14"/>
        <v>14988178</v>
      </c>
      <c r="U24" s="42"/>
      <c r="V24" s="70">
        <f t="shared" si="1"/>
        <v>14917200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9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4362267.9879999999</v>
      </c>
      <c r="K25" s="36">
        <f t="shared" si="10"/>
        <v>15921267.988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8"/>
        <v>1235390</v>
      </c>
      <c r="T25" s="41">
        <f>K25-O25</f>
        <v>15317937.988</v>
      </c>
      <c r="U25" s="42"/>
      <c r="V25" s="70">
        <f t="shared" si="1"/>
        <v>15191267.988</v>
      </c>
      <c r="W25" s="71">
        <v>11000000</v>
      </c>
      <c r="X25" s="71"/>
      <c r="Y25" s="71">
        <f t="shared" si="15"/>
        <v>3587937.9879999999</v>
      </c>
      <c r="Z25" s="71">
        <f t="shared" si="16"/>
        <v>179397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2816000</v>
      </c>
      <c r="K26" s="36">
        <f t="shared" si="10"/>
        <v>14375000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>K26-O26</f>
        <v>13771670</v>
      </c>
      <c r="U26" s="42"/>
      <c r="V26" s="70">
        <f t="shared" si="1"/>
        <v>13645000</v>
      </c>
      <c r="W26" s="71">
        <v>11000000</v>
      </c>
      <c r="X26" s="71"/>
      <c r="Y26" s="71">
        <f t="shared" si="15"/>
        <v>2041670</v>
      </c>
      <c r="Z26" s="71">
        <f t="shared" si="16"/>
        <v>102084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4362267.9879999999</v>
      </c>
      <c r="K27" s="36">
        <f t="shared" si="10"/>
        <v>15921267.988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ref="T27" si="17">K27-O27</f>
        <v>15317937.988</v>
      </c>
      <c r="U27" s="42"/>
      <c r="V27" s="70">
        <f t="shared" si="1"/>
        <v>15191267.988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/>
      <c r="B28" s="30" t="s">
        <v>91</v>
      </c>
      <c r="C28" s="31" t="s">
        <v>30</v>
      </c>
      <c r="D28" s="32"/>
      <c r="E28" s="33"/>
      <c r="F28" s="34"/>
      <c r="G28" s="34"/>
      <c r="H28" s="35"/>
      <c r="I28" s="35"/>
      <c r="J28" s="35"/>
      <c r="K28" s="36">
        <f t="shared" si="10"/>
        <v>0</v>
      </c>
      <c r="L28" s="37"/>
      <c r="M28" s="38"/>
      <c r="N28" s="39"/>
      <c r="O28" s="40"/>
      <c r="P28" s="38"/>
      <c r="Q28" s="38"/>
      <c r="R28" s="38"/>
      <c r="S28" s="40"/>
      <c r="T28" s="41"/>
      <c r="U28" s="42"/>
      <c r="V28" s="70"/>
      <c r="W28" s="71"/>
      <c r="X28" s="71"/>
      <c r="Y28" s="71"/>
      <c r="Z28" s="71"/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5452834.9850000003</v>
      </c>
      <c r="K29" s="36">
        <f t="shared" si="10"/>
        <v>16172034.984999999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ref="T29:T30" si="18">K29-O29</f>
        <v>15513012.984999999</v>
      </c>
      <c r="U29" s="42"/>
      <c r="V29" s="70">
        <f t="shared" si="1"/>
        <v>15442034.984999999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5452834.9850000003</v>
      </c>
      <c r="K30" s="36">
        <f t="shared" si="10"/>
        <v>16172034.984999999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8"/>
        <v>15513012.984999999</v>
      </c>
      <c r="U30" s="42"/>
      <c r="V30" s="70">
        <f t="shared" si="1"/>
        <v>15442034.984999999</v>
      </c>
      <c r="W30" s="71">
        <v>11000000</v>
      </c>
      <c r="X30" s="71">
        <f>4400000</f>
        <v>4400000</v>
      </c>
      <c r="Y30" s="71">
        <f t="shared" si="15"/>
        <v>0</v>
      </c>
      <c r="Z30" s="71">
        <f t="shared" si="16"/>
        <v>0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4362267.9879999999</v>
      </c>
      <c r="K31" s="36">
        <f t="shared" si="10"/>
        <v>15921267.988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>K31-O31</f>
        <v>15317937.988</v>
      </c>
      <c r="U31" s="42"/>
      <c r="V31" s="70">
        <f t="shared" si="1"/>
        <v>15191267.988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18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4362267.9879999999</v>
      </c>
      <c r="K32" s="36">
        <f t="shared" si="10"/>
        <v>15921267.988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>K32-O32</f>
        <v>15317937.988</v>
      </c>
      <c r="U32" s="42"/>
      <c r="V32" s="70">
        <f t="shared" si="1"/>
        <v>15191267.988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19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2816000</v>
      </c>
      <c r="K33" s="36">
        <f t="shared" si="10"/>
        <v>14375000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>K33-O33</f>
        <v>13771670</v>
      </c>
      <c r="U33" s="42"/>
      <c r="V33" s="70">
        <f t="shared" si="1"/>
        <v>13645000</v>
      </c>
      <c r="W33" s="71">
        <v>11000000</v>
      </c>
      <c r="X33" s="71"/>
      <c r="Y33" s="71">
        <f t="shared" si="15"/>
        <v>2041670</v>
      </c>
      <c r="Z33" s="71">
        <f t="shared" si="16"/>
        <v>102084</v>
      </c>
    </row>
    <row r="34" spans="1:26" s="53" customFormat="1" ht="21.75" customHeight="1" x14ac:dyDescent="0.25">
      <c r="A34" s="29">
        <v>20</v>
      </c>
      <c r="B34" s="30" t="s">
        <v>102</v>
      </c>
      <c r="C34" s="31" t="s">
        <v>118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7633968.9790000003</v>
      </c>
      <c r="K34" s="36">
        <f t="shared" si="10"/>
        <v>20144568.979000002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>K34-O34</f>
        <v>19311372.979000002</v>
      </c>
      <c r="U34" s="42"/>
      <c r="V34" s="70">
        <f t="shared" si="1"/>
        <v>19414568.979000002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21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2816000</v>
      </c>
      <c r="K35" s="36">
        <f t="shared" si="10"/>
        <v>13847200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ref="T35:T40" si="19">K35-O35</f>
        <v>13155418</v>
      </c>
      <c r="U35" s="42"/>
      <c r="V35" s="70">
        <f t="shared" si="1"/>
        <v>13117200</v>
      </c>
      <c r="W35" s="71">
        <v>11000000</v>
      </c>
      <c r="X35" s="71"/>
      <c r="Y35" s="71">
        <f t="shared" si="15"/>
        <v>1425418</v>
      </c>
      <c r="Z35" s="71">
        <f t="shared" si="16"/>
        <v>71271</v>
      </c>
    </row>
    <row r="36" spans="1:26" s="53" customFormat="1" ht="21.75" customHeight="1" x14ac:dyDescent="0.25">
      <c r="A36" s="29">
        <v>22</v>
      </c>
      <c r="B36" s="30" t="s">
        <v>111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4928000</v>
      </c>
      <c r="K36" s="36">
        <f t="shared" si="10"/>
        <v>15959200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9"/>
        <v>15267418</v>
      </c>
      <c r="U36" s="42"/>
      <c r="V36" s="70">
        <f t="shared" si="1"/>
        <v>15229200</v>
      </c>
      <c r="W36" s="71">
        <v>11000000</v>
      </c>
      <c r="X36" s="71">
        <f>4400000</f>
        <v>4400000</v>
      </c>
      <c r="Y36" s="71">
        <f t="shared" si="15"/>
        <v>0</v>
      </c>
      <c r="Z36" s="71">
        <f t="shared" si="16"/>
        <v>0</v>
      </c>
    </row>
    <row r="37" spans="1:26" s="53" customFormat="1" ht="21.75" customHeight="1" x14ac:dyDescent="0.25">
      <c r="A37" s="62">
        <v>23</v>
      </c>
      <c r="B37" s="30" t="s">
        <v>128</v>
      </c>
      <c r="C37" s="31" t="s">
        <v>129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1407999.6170000001</v>
      </c>
      <c r="K37" s="36">
        <f t="shared" si="10"/>
        <v>11105399.617000001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9"/>
        <v>10539743.617000001</v>
      </c>
      <c r="U37" s="42"/>
      <c r="V37" s="70">
        <f t="shared" si="1"/>
        <v>10375399.617000001</v>
      </c>
      <c r="W37" s="71">
        <v>11000000</v>
      </c>
      <c r="X37" s="71"/>
      <c r="Y37" s="71">
        <f t="shared" si="15"/>
        <v>0</v>
      </c>
      <c r="Z37" s="71">
        <f t="shared" si="16"/>
        <v>0</v>
      </c>
    </row>
    <row r="38" spans="1:26" s="53" customFormat="1" ht="21.75" customHeight="1" x14ac:dyDescent="0.25">
      <c r="A38" s="29">
        <v>24</v>
      </c>
      <c r="B38" s="30" t="s">
        <v>135</v>
      </c>
      <c r="C38" s="31" t="s">
        <v>136</v>
      </c>
      <c r="D38" s="32"/>
      <c r="E38" s="33">
        <v>26</v>
      </c>
      <c r="F38" s="34">
        <v>25000000</v>
      </c>
      <c r="G38" s="34"/>
      <c r="H38" s="35"/>
      <c r="I38" s="35"/>
      <c r="J38" s="80"/>
      <c r="K38" s="36">
        <f t="shared" si="10"/>
        <v>25000000</v>
      </c>
      <c r="L38" s="37"/>
      <c r="M38" s="38"/>
      <c r="N38" s="39"/>
      <c r="O38" s="40"/>
      <c r="P38" s="38"/>
      <c r="Q38" s="38"/>
      <c r="R38" s="38"/>
      <c r="S38" s="40"/>
      <c r="T38" s="41">
        <f t="shared" si="19"/>
        <v>25000000</v>
      </c>
      <c r="U38" s="42"/>
      <c r="V38" s="70">
        <f t="shared" si="1"/>
        <v>25000000</v>
      </c>
      <c r="W38" s="71"/>
      <c r="X38" s="71"/>
      <c r="Y38" s="71">
        <f t="shared" si="15"/>
        <v>25000000</v>
      </c>
      <c r="Z38" s="71">
        <f>Y38*0.1</f>
        <v>2500000</v>
      </c>
    </row>
    <row r="39" spans="1:26" s="53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 t="shared" ref="D39:D41" si="20">F39+G39</f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2816000</v>
      </c>
      <c r="K39" s="36">
        <f t="shared" si="10"/>
        <v>13847200</v>
      </c>
      <c r="L39" s="37">
        <f t="shared" ref="L39:L41" si="21">D39*8%</f>
        <v>527072</v>
      </c>
      <c r="M39" s="38">
        <f t="shared" ref="M39:M41" si="22">D39*1.5%</f>
        <v>98826</v>
      </c>
      <c r="N39" s="39">
        <f t="shared" ref="N39:N41" si="23">D39*1%</f>
        <v>65884</v>
      </c>
      <c r="O39" s="40">
        <f>L39+M39+N39</f>
        <v>691782</v>
      </c>
      <c r="P39" s="38">
        <f>D39*17.5%</f>
        <v>1152970</v>
      </c>
      <c r="Q39" s="38">
        <f t="shared" ref="Q39:Q41" si="24">D39*3%</f>
        <v>197652</v>
      </c>
      <c r="R39" s="38">
        <f t="shared" ref="R39:R41" si="25">D39*1%</f>
        <v>65884</v>
      </c>
      <c r="S39" s="40">
        <f t="shared" ref="S39:S41" si="26">P39+Q39+R39</f>
        <v>1416506</v>
      </c>
      <c r="T39" s="41">
        <f t="shared" si="19"/>
        <v>13155418</v>
      </c>
      <c r="U39" s="42"/>
      <c r="V39" s="70">
        <f t="shared" si="1"/>
        <v>13117200</v>
      </c>
      <c r="W39" s="71">
        <v>11000000</v>
      </c>
      <c r="X39" s="71"/>
      <c r="Y39" s="71">
        <f t="shared" si="15"/>
        <v>1425418</v>
      </c>
      <c r="Z39" s="71">
        <f t="shared" si="16"/>
        <v>71271</v>
      </c>
    </row>
    <row r="40" spans="1:26" s="53" customFormat="1" ht="21.75" customHeight="1" x14ac:dyDescent="0.25">
      <c r="A40" s="62">
        <v>26</v>
      </c>
      <c r="B40" s="30" t="s">
        <v>149</v>
      </c>
      <c r="C40" s="31" t="s">
        <v>29</v>
      </c>
      <c r="D40" s="32">
        <f t="shared" si="20"/>
        <v>6588400</v>
      </c>
      <c r="E40" s="33">
        <v>26</v>
      </c>
      <c r="F40" s="34">
        <v>5616000</v>
      </c>
      <c r="G40" s="34">
        <v>972400</v>
      </c>
      <c r="H40" s="35">
        <v>3712800</v>
      </c>
      <c r="I40" s="35">
        <v>730000</v>
      </c>
      <c r="J40" s="35">
        <v>2816000</v>
      </c>
      <c r="K40" s="36">
        <f t="shared" si="10"/>
        <v>13847200</v>
      </c>
      <c r="L40" s="37">
        <f t="shared" si="21"/>
        <v>527072</v>
      </c>
      <c r="M40" s="38">
        <f t="shared" si="22"/>
        <v>98826</v>
      </c>
      <c r="N40" s="39">
        <f t="shared" si="23"/>
        <v>65884</v>
      </c>
      <c r="O40" s="40">
        <f>L40+M40+N40</f>
        <v>691782</v>
      </c>
      <c r="P40" s="38">
        <f>D40*17.5%</f>
        <v>1152970</v>
      </c>
      <c r="Q40" s="38">
        <f t="shared" si="24"/>
        <v>197652</v>
      </c>
      <c r="R40" s="38">
        <f t="shared" si="25"/>
        <v>65884</v>
      </c>
      <c r="S40" s="40">
        <f t="shared" si="26"/>
        <v>1416506</v>
      </c>
      <c r="T40" s="41">
        <f t="shared" si="19"/>
        <v>13155418</v>
      </c>
      <c r="U40" s="42"/>
      <c r="V40" s="70">
        <f t="shared" si="1"/>
        <v>13117200</v>
      </c>
      <c r="W40" s="71">
        <v>11000000</v>
      </c>
      <c r="X40" s="71"/>
      <c r="Y40" s="71">
        <f t="shared" si="15"/>
        <v>1425418</v>
      </c>
      <c r="Z40" s="71">
        <f t="shared" si="16"/>
        <v>71271</v>
      </c>
    </row>
    <row r="41" spans="1:26" s="53" customFormat="1" ht="21.75" customHeight="1" x14ac:dyDescent="0.25">
      <c r="A41" s="29">
        <v>27</v>
      </c>
      <c r="B41" s="63" t="s">
        <v>155</v>
      </c>
      <c r="C41" s="31" t="s">
        <v>30</v>
      </c>
      <c r="D41" s="32">
        <f t="shared" si="20"/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4362267.9879999999</v>
      </c>
      <c r="K41" s="36">
        <f t="shared" si="10"/>
        <v>15921267.988</v>
      </c>
      <c r="L41" s="37">
        <f t="shared" si="21"/>
        <v>459680</v>
      </c>
      <c r="M41" s="38">
        <f t="shared" si="22"/>
        <v>86190</v>
      </c>
      <c r="N41" s="39">
        <f t="shared" si="23"/>
        <v>57460</v>
      </c>
      <c r="O41" s="40">
        <f t="shared" ref="O41" si="27">L41+M41+N41</f>
        <v>603330</v>
      </c>
      <c r="P41" s="38">
        <f t="shared" ref="P41" si="28">D41*17.5%</f>
        <v>1005549.9999999999</v>
      </c>
      <c r="Q41" s="38">
        <f t="shared" si="24"/>
        <v>172380</v>
      </c>
      <c r="R41" s="38">
        <f t="shared" si="25"/>
        <v>57460</v>
      </c>
      <c r="S41" s="40">
        <f t="shared" si="26"/>
        <v>1235390</v>
      </c>
      <c r="T41" s="41">
        <f>K41-O41</f>
        <v>15317937.988</v>
      </c>
      <c r="U41" s="42"/>
      <c r="V41" s="70">
        <f t="shared" si="1"/>
        <v>15191267.988</v>
      </c>
      <c r="W41" s="71">
        <v>11000000</v>
      </c>
      <c r="X41" s="71"/>
      <c r="Y41" s="71">
        <f t="shared" si="15"/>
        <v>3587937.9879999999</v>
      </c>
      <c r="Z41" s="71">
        <f t="shared" si="16"/>
        <v>179397</v>
      </c>
    </row>
    <row r="42" spans="1:26" s="53" customFormat="1" ht="21.75" customHeight="1" x14ac:dyDescent="0.25">
      <c r="A42" s="62">
        <v>28</v>
      </c>
      <c r="B42" s="30" t="s">
        <v>156</v>
      </c>
      <c r="C42" s="31" t="s">
        <v>136</v>
      </c>
      <c r="D42" s="32"/>
      <c r="E42" s="33"/>
      <c r="F42" s="34">
        <v>20000000</v>
      </c>
      <c r="G42" s="34"/>
      <c r="H42" s="35"/>
      <c r="I42" s="35"/>
      <c r="J42" s="35"/>
      <c r="K42" s="36">
        <f t="shared" si="10"/>
        <v>20000000</v>
      </c>
      <c r="L42" s="37"/>
      <c r="M42" s="38"/>
      <c r="N42" s="39"/>
      <c r="O42" s="40"/>
      <c r="P42" s="38"/>
      <c r="Q42" s="38"/>
      <c r="R42" s="38"/>
      <c r="S42" s="40"/>
      <c r="T42" s="41">
        <f>K42-O42</f>
        <v>20000000</v>
      </c>
      <c r="U42" s="42"/>
      <c r="V42" s="70">
        <f t="shared" si="1"/>
        <v>20000000</v>
      </c>
      <c r="W42" s="71"/>
      <c r="X42" s="71"/>
      <c r="Y42" s="71">
        <f t="shared" si="15"/>
        <v>20000000</v>
      </c>
      <c r="Z42" s="71">
        <f>Y42*0.1</f>
        <v>2000000</v>
      </c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36238400</v>
      </c>
      <c r="E43" s="51">
        <f t="shared" ref="E43:Z43" si="29">SUM(E44:E51)</f>
        <v>156</v>
      </c>
      <c r="F43" s="51">
        <f t="shared" si="29"/>
        <v>29338200</v>
      </c>
      <c r="G43" s="51">
        <f t="shared" si="29"/>
        <v>6900200</v>
      </c>
      <c r="H43" s="51">
        <f t="shared" si="29"/>
        <v>22674600</v>
      </c>
      <c r="I43" s="51">
        <f t="shared" si="29"/>
        <v>4380000</v>
      </c>
      <c r="J43" s="51">
        <f t="shared" si="29"/>
        <v>0</v>
      </c>
      <c r="K43" s="51">
        <f t="shared" si="29"/>
        <v>63293000</v>
      </c>
      <c r="L43" s="51">
        <f t="shared" si="29"/>
        <v>2899072</v>
      </c>
      <c r="M43" s="51">
        <f t="shared" si="29"/>
        <v>543576</v>
      </c>
      <c r="N43" s="51">
        <f t="shared" si="29"/>
        <v>362384</v>
      </c>
      <c r="O43" s="51">
        <f t="shared" si="29"/>
        <v>3805032</v>
      </c>
      <c r="P43" s="51">
        <f t="shared" si="29"/>
        <v>6341720</v>
      </c>
      <c r="Q43" s="51">
        <f t="shared" si="29"/>
        <v>1087152</v>
      </c>
      <c r="R43" s="51">
        <f t="shared" si="29"/>
        <v>362384</v>
      </c>
      <c r="S43" s="51">
        <f t="shared" si="29"/>
        <v>7791256</v>
      </c>
      <c r="T43" s="51">
        <f t="shared" si="29"/>
        <v>59487968</v>
      </c>
      <c r="U43" s="51">
        <f t="shared" si="29"/>
        <v>0</v>
      </c>
      <c r="V43" s="51">
        <f>SUM(V44:V51)</f>
        <v>58913000</v>
      </c>
      <c r="W43" s="51">
        <f t="shared" si="29"/>
        <v>66000000</v>
      </c>
      <c r="X43" s="51">
        <f t="shared" si="29"/>
        <v>4400000</v>
      </c>
      <c r="Y43" s="51">
        <f t="shared" si="29"/>
        <v>0</v>
      </c>
      <c r="Z43" s="51">
        <f t="shared" si="29"/>
        <v>0</v>
      </c>
    </row>
    <row r="44" spans="1:26" s="26" customFormat="1" ht="21.75" customHeight="1" x14ac:dyDescent="0.25">
      <c r="A44" s="29">
        <v>29</v>
      </c>
      <c r="B44" s="30" t="s">
        <v>42</v>
      </c>
      <c r="C44" s="31" t="s">
        <v>41</v>
      </c>
      <c r="D44" s="43">
        <f t="shared" ref="D44:D51" si="30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51" si="31">D44*8%</f>
        <v>443632</v>
      </c>
      <c r="M44" s="38">
        <f t="shared" ref="M44:M51" si="32">D44*1.5%</f>
        <v>83181</v>
      </c>
      <c r="N44" s="39">
        <f t="shared" ref="N44:N51" si="33">D44*1%</f>
        <v>55454</v>
      </c>
      <c r="O44" s="40">
        <f t="shared" ref="O44:O51" si="34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1" si="35">P44+Q44+R44</f>
        <v>1192261</v>
      </c>
      <c r="T44" s="41">
        <f t="shared" ref="T44:T46" si="36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30</v>
      </c>
      <c r="B45" s="30" t="s">
        <v>79</v>
      </c>
      <c r="C45" s="31" t="s">
        <v>40</v>
      </c>
      <c r="D45" s="43">
        <f t="shared" si="30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51" si="37">F45+G45+H45+I45+J45</f>
        <v>10542400</v>
      </c>
      <c r="L45" s="37">
        <f t="shared" si="31"/>
        <v>484432</v>
      </c>
      <c r="M45" s="38">
        <f t="shared" si="32"/>
        <v>90831</v>
      </c>
      <c r="N45" s="39">
        <f t="shared" si="33"/>
        <v>60554</v>
      </c>
      <c r="O45" s="40">
        <f t="shared" si="34"/>
        <v>635817</v>
      </c>
      <c r="P45" s="38">
        <f t="shared" ref="P45:P48" si="38">D45*17.5%</f>
        <v>1059695</v>
      </c>
      <c r="Q45" s="38">
        <f t="shared" ref="Q45:Q51" si="39">D45*3%</f>
        <v>181662</v>
      </c>
      <c r="R45" s="38">
        <f t="shared" ref="R45:R51" si="40">D45*1%</f>
        <v>60554</v>
      </c>
      <c r="S45" s="40">
        <f t="shared" si="35"/>
        <v>1301911</v>
      </c>
      <c r="T45" s="41">
        <f t="shared" si="36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31</v>
      </c>
      <c r="B46" s="30" t="s">
        <v>81</v>
      </c>
      <c r="C46" s="31" t="s">
        <v>41</v>
      </c>
      <c r="D46" s="43">
        <f t="shared" si="30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7"/>
        <v>10233000</v>
      </c>
      <c r="L46" s="37">
        <f t="shared" si="31"/>
        <v>459680</v>
      </c>
      <c r="M46" s="38">
        <f t="shared" si="32"/>
        <v>86190</v>
      </c>
      <c r="N46" s="39">
        <f t="shared" si="33"/>
        <v>57460</v>
      </c>
      <c r="O46" s="40">
        <f t="shared" si="34"/>
        <v>603330</v>
      </c>
      <c r="P46" s="38">
        <f t="shared" si="38"/>
        <v>1005549.9999999999</v>
      </c>
      <c r="Q46" s="38">
        <f t="shared" si="39"/>
        <v>172380</v>
      </c>
      <c r="R46" s="38">
        <f t="shared" si="40"/>
        <v>57460</v>
      </c>
      <c r="S46" s="40">
        <f t="shared" si="35"/>
        <v>1235390</v>
      </c>
      <c r="T46" s="41">
        <f t="shared" si="36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29">
        <v>32</v>
      </c>
      <c r="B48" s="30" t="s">
        <v>105</v>
      </c>
      <c r="C48" s="31" t="s">
        <v>40</v>
      </c>
      <c r="D48" s="43">
        <f t="shared" si="30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7"/>
        <v>10828400</v>
      </c>
      <c r="L48" s="37">
        <f t="shared" si="31"/>
        <v>503776</v>
      </c>
      <c r="M48" s="38">
        <f t="shared" si="32"/>
        <v>94458</v>
      </c>
      <c r="N48" s="39">
        <f t="shared" si="33"/>
        <v>62972</v>
      </c>
      <c r="O48" s="40">
        <f t="shared" si="34"/>
        <v>661206</v>
      </c>
      <c r="P48" s="38">
        <f t="shared" si="38"/>
        <v>1102010</v>
      </c>
      <c r="Q48" s="38">
        <f t="shared" si="39"/>
        <v>188916</v>
      </c>
      <c r="R48" s="38">
        <f t="shared" si="40"/>
        <v>62972</v>
      </c>
      <c r="S48" s="40">
        <f t="shared" si="35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/>
      <c r="B49" s="30" t="s">
        <v>106</v>
      </c>
      <c r="C49" s="31" t="s">
        <v>40</v>
      </c>
      <c r="D49" s="43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70"/>
      <c r="W49" s="71"/>
      <c r="X49" s="71"/>
      <c r="Y49" s="71"/>
      <c r="Z49" s="71"/>
    </row>
    <row r="50" spans="1:26" s="14" customFormat="1" ht="17.25" customHeight="1" x14ac:dyDescent="0.25">
      <c r="A50" s="62">
        <v>33</v>
      </c>
      <c r="B50" s="30" t="s">
        <v>124</v>
      </c>
      <c r="C50" s="31" t="s">
        <v>40</v>
      </c>
      <c r="D50" s="43">
        <f t="shared" si="30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37"/>
        <v>10828400</v>
      </c>
      <c r="L50" s="37">
        <f t="shared" si="31"/>
        <v>503776</v>
      </c>
      <c r="M50" s="38">
        <f t="shared" si="32"/>
        <v>94458</v>
      </c>
      <c r="N50" s="39">
        <f t="shared" si="33"/>
        <v>62972</v>
      </c>
      <c r="O50" s="40">
        <f t="shared" si="34"/>
        <v>661206</v>
      </c>
      <c r="P50" s="38">
        <f>D50*17.5%</f>
        <v>1102010</v>
      </c>
      <c r="Q50" s="38">
        <f t="shared" si="39"/>
        <v>188916</v>
      </c>
      <c r="R50" s="38">
        <f t="shared" si="40"/>
        <v>62972</v>
      </c>
      <c r="S50" s="40">
        <f t="shared" si="35"/>
        <v>1353898</v>
      </c>
      <c r="T50" s="41">
        <f>K50-O50</f>
        <v>10167194</v>
      </c>
      <c r="U50" s="42"/>
      <c r="V50" s="70">
        <f t="shared" si="1"/>
        <v>10098400</v>
      </c>
      <c r="W50" s="71">
        <v>11000000</v>
      </c>
      <c r="X50" s="71"/>
      <c r="Y50" s="71">
        <f t="shared" ref="Y50:Y51" si="41">MAX(V50-O50-W50-X50,0)</f>
        <v>0</v>
      </c>
      <c r="Z50" s="71">
        <f t="shared" ref="Z50:Z51" si="42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34</v>
      </c>
      <c r="B51" s="30" t="s">
        <v>130</v>
      </c>
      <c r="C51" s="31" t="s">
        <v>40</v>
      </c>
      <c r="D51" s="43">
        <f t="shared" si="30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37"/>
        <v>10828400</v>
      </c>
      <c r="L51" s="37">
        <f t="shared" si="31"/>
        <v>503776</v>
      </c>
      <c r="M51" s="38">
        <f t="shared" si="32"/>
        <v>94458</v>
      </c>
      <c r="N51" s="39">
        <f t="shared" si="33"/>
        <v>62972</v>
      </c>
      <c r="O51" s="40">
        <f t="shared" si="34"/>
        <v>661206</v>
      </c>
      <c r="P51" s="38">
        <f>D51*17.5%</f>
        <v>1102010</v>
      </c>
      <c r="Q51" s="38">
        <f t="shared" si="39"/>
        <v>188916</v>
      </c>
      <c r="R51" s="38">
        <f t="shared" si="40"/>
        <v>62972</v>
      </c>
      <c r="S51" s="40">
        <f t="shared" si="35"/>
        <v>1353898</v>
      </c>
      <c r="T51" s="41">
        <f>K51-O51</f>
        <v>10167194</v>
      </c>
      <c r="U51" s="42"/>
      <c r="V51" s="70">
        <f t="shared" si="1"/>
        <v>10098400</v>
      </c>
      <c r="W51" s="71">
        <v>11000000</v>
      </c>
      <c r="X51" s="71"/>
      <c r="Y51" s="71">
        <f t="shared" si="41"/>
        <v>0</v>
      </c>
      <c r="Z51" s="71">
        <f t="shared" si="42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U52" si="43">D11+D13+D15+D43</f>
        <v>207013000</v>
      </c>
      <c r="E52" s="47">
        <f t="shared" si="43"/>
        <v>858</v>
      </c>
      <c r="F52" s="47">
        <f t="shared" si="43"/>
        <v>215395600</v>
      </c>
      <c r="G52" s="47">
        <f t="shared" si="43"/>
        <v>36617400</v>
      </c>
      <c r="H52" s="47">
        <f t="shared" si="43"/>
        <v>130787800</v>
      </c>
      <c r="I52" s="47">
        <f t="shared" si="43"/>
        <v>22630000</v>
      </c>
      <c r="J52" s="47">
        <f t="shared" si="43"/>
        <v>97195813.490999997</v>
      </c>
      <c r="K52" s="47">
        <f t="shared" si="43"/>
        <v>489461413.491</v>
      </c>
      <c r="L52" s="47">
        <f t="shared" si="43"/>
        <v>16561040</v>
      </c>
      <c r="M52" s="47">
        <f t="shared" si="43"/>
        <v>3105195</v>
      </c>
      <c r="N52" s="47">
        <f t="shared" si="43"/>
        <v>2070130</v>
      </c>
      <c r="O52" s="47">
        <f t="shared" si="43"/>
        <v>21736365</v>
      </c>
      <c r="P52" s="47">
        <f t="shared" si="43"/>
        <v>36227275</v>
      </c>
      <c r="Q52" s="47">
        <f t="shared" si="43"/>
        <v>6210390</v>
      </c>
      <c r="R52" s="47">
        <f t="shared" si="43"/>
        <v>2070130</v>
      </c>
      <c r="S52" s="47">
        <f t="shared" si="43"/>
        <v>44507795</v>
      </c>
      <c r="T52" s="47">
        <f t="shared" si="43"/>
        <v>469107394.491</v>
      </c>
      <c r="U52" s="47">
        <f t="shared" si="43"/>
        <v>0</v>
      </c>
      <c r="V52" s="47">
        <f>V11+V13+V15+V43</f>
        <v>466831413.491</v>
      </c>
      <c r="W52" s="47">
        <f t="shared" ref="W52" si="44">W11+W13+W15+W43</f>
        <v>341000000</v>
      </c>
      <c r="X52" s="47">
        <f>X11+X13+X15+X43</f>
        <v>105600000</v>
      </c>
      <c r="Y52" s="47">
        <f>Y11+Y13+Y15+Y43</f>
        <v>73469842.975999996</v>
      </c>
      <c r="Z52" s="47">
        <f>Z11+Z13+Z15+Z43</f>
        <v>5923496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151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43:C43"/>
    <mergeCell ref="A52:B52"/>
    <mergeCell ref="A15:C15"/>
    <mergeCell ref="F8:F9"/>
    <mergeCell ref="G8:I8"/>
    <mergeCell ref="J8:J9"/>
    <mergeCell ref="A13:C13"/>
    <mergeCell ref="A11:C11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N55:T55"/>
    <mergeCell ref="W8:W9"/>
    <mergeCell ref="X8:X9"/>
    <mergeCell ref="Y8:Y9"/>
    <mergeCell ref="Z8:Z9"/>
    <mergeCell ref="N53:T53"/>
    <mergeCell ref="N54:T54"/>
    <mergeCell ref="V8:V9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opLeftCell="C10" workbookViewId="0">
      <selection activeCell="Y28" sqref="Y2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71093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153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9" t="s">
        <v>15</v>
      </c>
      <c r="H9" s="79" t="s">
        <v>16</v>
      </c>
      <c r="I9" s="79" t="s">
        <v>17</v>
      </c>
      <c r="J9" s="82"/>
      <c r="K9" s="88"/>
      <c r="L9" s="78" t="s">
        <v>18</v>
      </c>
      <c r="M9" s="78" t="s">
        <v>19</v>
      </c>
      <c r="N9" s="78" t="s">
        <v>20</v>
      </c>
      <c r="O9" s="79" t="s">
        <v>21</v>
      </c>
      <c r="P9" s="78" t="s">
        <v>87</v>
      </c>
      <c r="Q9" s="78" t="s">
        <v>22</v>
      </c>
      <c r="R9" s="78" t="s">
        <v>20</v>
      </c>
      <c r="S9" s="79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2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>SUM(K14:K14)</f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SUM(D16:D42)</f>
        <v>145539400</v>
      </c>
      <c r="E15" s="51">
        <f t="shared" ref="E15:Z15" si="3">SUM(E16:E42)</f>
        <v>624</v>
      </c>
      <c r="F15" s="51">
        <f t="shared" si="3"/>
        <v>140465400</v>
      </c>
      <c r="G15" s="51">
        <f t="shared" si="3"/>
        <v>25074000</v>
      </c>
      <c r="H15" s="51">
        <f t="shared" si="3"/>
        <v>104179400</v>
      </c>
      <c r="I15" s="51">
        <f t="shared" si="3"/>
        <v>17520000</v>
      </c>
      <c r="J15" s="51">
        <f>SUM(J16:J42)</f>
        <v>138334051.04550001</v>
      </c>
      <c r="K15" s="51">
        <f t="shared" si="3"/>
        <v>425572851.04549992</v>
      </c>
      <c r="L15" s="51">
        <f t="shared" si="3"/>
        <v>11643152</v>
      </c>
      <c r="M15" s="51">
        <f t="shared" si="3"/>
        <v>2183091</v>
      </c>
      <c r="N15" s="51">
        <f t="shared" si="3"/>
        <v>1455394</v>
      </c>
      <c r="O15" s="51">
        <f t="shared" si="3"/>
        <v>15281637</v>
      </c>
      <c r="P15" s="51">
        <f t="shared" si="3"/>
        <v>25469395</v>
      </c>
      <c r="Q15" s="51">
        <f t="shared" si="3"/>
        <v>4366182</v>
      </c>
      <c r="R15" s="51">
        <f t="shared" si="3"/>
        <v>1455394</v>
      </c>
      <c r="S15" s="51">
        <f t="shared" si="3"/>
        <v>31290971</v>
      </c>
      <c r="T15" s="51">
        <f t="shared" si="3"/>
        <v>410291214.04549992</v>
      </c>
      <c r="U15" s="51">
        <f t="shared" si="3"/>
        <v>0</v>
      </c>
      <c r="V15" s="51">
        <f t="shared" si="3"/>
        <v>408052851.04549992</v>
      </c>
      <c r="W15" s="51">
        <f t="shared" si="3"/>
        <v>264000000</v>
      </c>
      <c r="X15" s="51">
        <f t="shared" si="3"/>
        <v>101200000</v>
      </c>
      <c r="Y15" s="51">
        <f t="shared" si="3"/>
        <v>65176894.910999998</v>
      </c>
      <c r="Z15" s="51">
        <f t="shared" si="3"/>
        <v>4331667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7599221.8295</v>
      </c>
      <c r="K16" s="36">
        <f>F16+G16+H16+I16+J16</f>
        <v>18312021.829500001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8">P16+Q16+R16</f>
        <v>1348050</v>
      </c>
      <c r="T16" s="41">
        <f>K16-O16</f>
        <v>17653671.829500001</v>
      </c>
      <c r="U16" s="42"/>
      <c r="V16" s="70">
        <f>K16-I16</f>
        <v>17582021.829500001</v>
      </c>
      <c r="W16" s="71">
        <v>11000000</v>
      </c>
      <c r="X16" s="71"/>
      <c r="Y16" s="71">
        <f>MAX(V16-O16-W16-X16,0)</f>
        <v>5923671.8295000009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342367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9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6513618.7110000001</v>
      </c>
      <c r="K17" s="36">
        <f t="shared" ref="K17:K42" si="10">F17+G17+H17+I17+J17</f>
        <v>16700818.710999999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8"/>
        <v>1235046</v>
      </c>
      <c r="T17" s="41">
        <f t="shared" ref="T17:T24" si="14">K17-O17</f>
        <v>16097656.710999999</v>
      </c>
      <c r="U17" s="42"/>
      <c r="V17" s="70">
        <f t="shared" si="1"/>
        <v>15970818.710999999</v>
      </c>
      <c r="W17" s="71">
        <v>11000000</v>
      </c>
      <c r="X17" s="71">
        <f>4400000</f>
        <v>4400000</v>
      </c>
      <c r="Y17" s="71">
        <f t="shared" ref="Y17:Y49" si="15">MAX(V17-O17-W17-X17,0)</f>
        <v>0</v>
      </c>
      <c r="Z17" s="71">
        <f t="shared" ref="Z17:Z49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9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6513618.7110000001</v>
      </c>
      <c r="K18" s="36">
        <f t="shared" si="10"/>
        <v>16700818.710999999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8"/>
        <v>1235046</v>
      </c>
      <c r="T18" s="41">
        <f t="shared" si="14"/>
        <v>16097656.710999999</v>
      </c>
      <c r="U18" s="42"/>
      <c r="V18" s="70">
        <f t="shared" si="1"/>
        <v>15970818.710999999</v>
      </c>
      <c r="W18" s="71">
        <v>11000000</v>
      </c>
      <c r="X18" s="71">
        <f>4400000</f>
        <v>4400000</v>
      </c>
      <c r="Y18" s="71">
        <f t="shared" si="15"/>
        <v>0</v>
      </c>
      <c r="Z18" s="71">
        <f t="shared" si="16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4342412.4740000004</v>
      </c>
      <c r="K19" s="36">
        <f t="shared" si="10"/>
        <v>15700812.473999999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15118545.473999999</v>
      </c>
      <c r="U19" s="42"/>
      <c r="V19" s="70">
        <f t="shared" si="1"/>
        <v>14970812.473999999</v>
      </c>
      <c r="W19" s="71">
        <v>11000000</v>
      </c>
      <c r="X19" s="71"/>
      <c r="Y19" s="71">
        <f t="shared" si="15"/>
        <v>3388545.4739999995</v>
      </c>
      <c r="Z19" s="71">
        <f t="shared" si="16"/>
        <v>169427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7550885.2225000001</v>
      </c>
      <c r="K20" s="36">
        <f t="shared" si="10"/>
        <v>18263685.2225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17605335.2225</v>
      </c>
      <c r="U20" s="42"/>
      <c r="V20" s="70">
        <f t="shared" si="1"/>
        <v>17533685.2225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9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4342412.4740000004</v>
      </c>
      <c r="K21" s="36">
        <f t="shared" si="10"/>
        <v>15901412.473999999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8"/>
        <v>1235390</v>
      </c>
      <c r="T21" s="41">
        <f t="shared" si="14"/>
        <v>15298082.473999999</v>
      </c>
      <c r="U21" s="42"/>
      <c r="V21" s="70">
        <f t="shared" si="1"/>
        <v>15171412.473999999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4342412.4740000004</v>
      </c>
      <c r="K22" s="36">
        <f t="shared" si="10"/>
        <v>15901412.473999999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15298082.473999999</v>
      </c>
      <c r="U22" s="42"/>
      <c r="V22" s="70">
        <f t="shared" si="1"/>
        <v>15171412.473999999</v>
      </c>
      <c r="W22" s="71">
        <v>11000000</v>
      </c>
      <c r="X22" s="71"/>
      <c r="Y22" s="71">
        <f t="shared" si="15"/>
        <v>3568082.4739999995</v>
      </c>
      <c r="Z22" s="71">
        <f t="shared" si="16"/>
        <v>178404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4342412.4740000004</v>
      </c>
      <c r="K23" s="36">
        <f t="shared" si="10"/>
        <v>15901412.473999999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15298082.473999999</v>
      </c>
      <c r="U23" s="42"/>
      <c r="V23" s="70">
        <f t="shared" si="1"/>
        <v>15171412.473999999</v>
      </c>
      <c r="W23" s="71">
        <v>11000000</v>
      </c>
      <c r="X23" s="71"/>
      <c r="Y23" s="71">
        <f t="shared" si="15"/>
        <v>3568082.4739999995</v>
      </c>
      <c r="Z23" s="71">
        <f t="shared" si="16"/>
        <v>178404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9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6513618.7110000001</v>
      </c>
      <c r="K24" s="36">
        <f t="shared" si="10"/>
        <v>17232818.710999999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8"/>
        <v>1349426</v>
      </c>
      <c r="T24" s="41">
        <f t="shared" si="14"/>
        <v>16573796.710999999</v>
      </c>
      <c r="U24" s="42"/>
      <c r="V24" s="70">
        <f t="shared" si="1"/>
        <v>16502818.710999999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9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6040708.1780000003</v>
      </c>
      <c r="K25" s="36">
        <f t="shared" si="10"/>
        <v>17599708.177999999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8"/>
        <v>1235390</v>
      </c>
      <c r="T25" s="41">
        <f>K25-O25</f>
        <v>16996378.177999999</v>
      </c>
      <c r="U25" s="42"/>
      <c r="V25" s="70">
        <f t="shared" si="1"/>
        <v>16869708.177999999</v>
      </c>
      <c r="W25" s="71">
        <v>11000000</v>
      </c>
      <c r="X25" s="71"/>
      <c r="Y25" s="71">
        <f t="shared" si="15"/>
        <v>5266378.1779999994</v>
      </c>
      <c r="Z25" s="71">
        <f t="shared" si="16"/>
        <v>276638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4342412.4740000004</v>
      </c>
      <c r="K26" s="36">
        <f t="shared" si="10"/>
        <v>15901412.473999999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>K26-O26</f>
        <v>15298082.473999999</v>
      </c>
      <c r="U26" s="42"/>
      <c r="V26" s="70">
        <f t="shared" si="1"/>
        <v>15171412.473999999</v>
      </c>
      <c r="W26" s="71">
        <v>11000000</v>
      </c>
      <c r="X26" s="71"/>
      <c r="Y26" s="71">
        <f t="shared" si="15"/>
        <v>3568082.4739999995</v>
      </c>
      <c r="Z26" s="71">
        <f t="shared" si="16"/>
        <v>178404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6040708.1780000003</v>
      </c>
      <c r="K27" s="36">
        <f t="shared" si="10"/>
        <v>17599708.177999999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ref="T27" si="17">K27-O27</f>
        <v>16996378.177999999</v>
      </c>
      <c r="U27" s="42"/>
      <c r="V27" s="70">
        <f t="shared" si="1"/>
        <v>16869708.177999999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/>
      <c r="B28" s="30" t="s">
        <v>91</v>
      </c>
      <c r="C28" s="31" t="s">
        <v>30</v>
      </c>
      <c r="D28" s="32"/>
      <c r="E28" s="33"/>
      <c r="F28" s="34"/>
      <c r="G28" s="34"/>
      <c r="H28" s="35"/>
      <c r="I28" s="35"/>
      <c r="J28" s="35"/>
      <c r="K28" s="36">
        <f t="shared" si="10"/>
        <v>0</v>
      </c>
      <c r="L28" s="37"/>
      <c r="M28" s="38"/>
      <c r="N28" s="39"/>
      <c r="O28" s="40"/>
      <c r="P28" s="38"/>
      <c r="Q28" s="38"/>
      <c r="R28" s="38"/>
      <c r="S28" s="40"/>
      <c r="T28" s="41"/>
      <c r="U28" s="42"/>
      <c r="V28" s="70"/>
      <c r="W28" s="71"/>
      <c r="X28" s="71"/>
      <c r="Y28" s="71"/>
      <c r="Z28" s="71"/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7550885.2225000001</v>
      </c>
      <c r="K29" s="36">
        <f t="shared" si="10"/>
        <v>18270085.2225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ref="T29:T30" si="18">K29-O29</f>
        <v>17611063.2225</v>
      </c>
      <c r="U29" s="42"/>
      <c r="V29" s="70">
        <f t="shared" si="1"/>
        <v>17540085.2225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7550885.2225000001</v>
      </c>
      <c r="K30" s="36">
        <f t="shared" si="10"/>
        <v>18270085.2225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8"/>
        <v>17611063.2225</v>
      </c>
      <c r="U30" s="42"/>
      <c r="V30" s="70">
        <f t="shared" si="1"/>
        <v>17540085.2225</v>
      </c>
      <c r="W30" s="71">
        <v>11000000</v>
      </c>
      <c r="X30" s="71">
        <f>4400000</f>
        <v>4400000</v>
      </c>
      <c r="Y30" s="71">
        <f t="shared" si="15"/>
        <v>1481063.2225000001</v>
      </c>
      <c r="Z30" s="71">
        <f t="shared" si="16"/>
        <v>74053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6040708.1780000003</v>
      </c>
      <c r="K31" s="36">
        <f t="shared" si="10"/>
        <v>17599708.177999999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>K31-O31</f>
        <v>16996378.177999999</v>
      </c>
      <c r="U31" s="42"/>
      <c r="V31" s="70">
        <f t="shared" si="1"/>
        <v>16869708.177999999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18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6040708.1780000003</v>
      </c>
      <c r="K32" s="36">
        <f t="shared" si="10"/>
        <v>17599708.177999999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>K32-O32</f>
        <v>16996378.177999999</v>
      </c>
      <c r="U32" s="42"/>
      <c r="V32" s="70">
        <f t="shared" si="1"/>
        <v>16869708.177999999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19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4342412.4740000004</v>
      </c>
      <c r="K33" s="36">
        <f t="shared" si="10"/>
        <v>15901412.473999999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>K33-O33</f>
        <v>15298082.473999999</v>
      </c>
      <c r="U33" s="42"/>
      <c r="V33" s="70">
        <f t="shared" si="1"/>
        <v>15171412.473999999</v>
      </c>
      <c r="W33" s="71">
        <v>11000000</v>
      </c>
      <c r="X33" s="71"/>
      <c r="Y33" s="71">
        <f t="shared" si="15"/>
        <v>3568082.4739999995</v>
      </c>
      <c r="Z33" s="71">
        <f t="shared" si="16"/>
        <v>178404</v>
      </c>
    </row>
    <row r="34" spans="1:26" s="53" customFormat="1" ht="21.75" customHeight="1" x14ac:dyDescent="0.25">
      <c r="A34" s="29">
        <v>20</v>
      </c>
      <c r="B34" s="30" t="s">
        <v>102</v>
      </c>
      <c r="C34" s="31" t="s">
        <v>118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10571239.3115</v>
      </c>
      <c r="K34" s="36">
        <f t="shared" si="10"/>
        <v>23081839.311499998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>K34-O34</f>
        <v>22248643.311499998</v>
      </c>
      <c r="U34" s="42"/>
      <c r="V34" s="70">
        <f t="shared" si="1"/>
        <v>22351839.311499998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21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4342412.4740000004</v>
      </c>
      <c r="K35" s="36">
        <f t="shared" si="10"/>
        <v>15373612.473999999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ref="T35:T40" si="19">K35-O35</f>
        <v>14681830.473999999</v>
      </c>
      <c r="U35" s="42"/>
      <c r="V35" s="70">
        <f t="shared" si="1"/>
        <v>14643612.473999999</v>
      </c>
      <c r="W35" s="71">
        <v>11000000</v>
      </c>
      <c r="X35" s="71"/>
      <c r="Y35" s="71">
        <f t="shared" si="15"/>
        <v>2951830.4739999995</v>
      </c>
      <c r="Z35" s="71">
        <f t="shared" si="16"/>
        <v>147592</v>
      </c>
    </row>
    <row r="36" spans="1:26" s="53" customFormat="1" ht="21.75" customHeight="1" x14ac:dyDescent="0.25">
      <c r="A36" s="29">
        <v>22</v>
      </c>
      <c r="B36" s="30" t="s">
        <v>111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6513618.7110000001</v>
      </c>
      <c r="K36" s="36">
        <f t="shared" si="10"/>
        <v>17544818.710999999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9"/>
        <v>16853036.710999999</v>
      </c>
      <c r="U36" s="42"/>
      <c r="V36" s="70">
        <f t="shared" si="1"/>
        <v>16814818.710999999</v>
      </c>
      <c r="W36" s="71">
        <v>11000000</v>
      </c>
      <c r="X36" s="71">
        <f>4400000</f>
        <v>4400000</v>
      </c>
      <c r="Y36" s="71">
        <f t="shared" si="15"/>
        <v>723036.7109999992</v>
      </c>
      <c r="Z36" s="71">
        <f t="shared" si="16"/>
        <v>36152</v>
      </c>
    </row>
    <row r="37" spans="1:26" s="53" customFormat="1" ht="21.75" customHeight="1" x14ac:dyDescent="0.25">
      <c r="A37" s="62">
        <v>23</v>
      </c>
      <c r="B37" s="30" t="s">
        <v>128</v>
      </c>
      <c r="C37" s="31" t="s">
        <v>129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2171206.2370000002</v>
      </c>
      <c r="K37" s="36">
        <f t="shared" si="10"/>
        <v>11868606.237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9"/>
        <v>11302950.237</v>
      </c>
      <c r="U37" s="42"/>
      <c r="V37" s="70">
        <f t="shared" si="1"/>
        <v>11138606.237</v>
      </c>
      <c r="W37" s="71">
        <v>11000000</v>
      </c>
      <c r="X37" s="71"/>
      <c r="Y37" s="71">
        <f t="shared" si="15"/>
        <v>0</v>
      </c>
      <c r="Z37" s="71">
        <f t="shared" si="16"/>
        <v>0</v>
      </c>
    </row>
    <row r="38" spans="1:26" s="53" customFormat="1" ht="21.75" customHeight="1" x14ac:dyDescent="0.25">
      <c r="A38" s="29"/>
      <c r="B38" s="30" t="s">
        <v>135</v>
      </c>
      <c r="C38" s="31" t="s">
        <v>136</v>
      </c>
      <c r="D38" s="32"/>
      <c r="E38" s="33"/>
      <c r="F38" s="34"/>
      <c r="G38" s="34"/>
      <c r="H38" s="35"/>
      <c r="I38" s="35"/>
      <c r="J38" s="35"/>
      <c r="K38" s="36"/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 t="shared" ref="D39:D41" si="20">F39+G39</f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4342412.4740000004</v>
      </c>
      <c r="K39" s="36">
        <f t="shared" si="10"/>
        <v>15373612.473999999</v>
      </c>
      <c r="L39" s="37">
        <f t="shared" ref="L39:L41" si="21">D39*8%</f>
        <v>527072</v>
      </c>
      <c r="M39" s="38">
        <f t="shared" ref="M39:M41" si="22">D39*1.5%</f>
        <v>98826</v>
      </c>
      <c r="N39" s="39">
        <f t="shared" ref="N39:N41" si="23">D39*1%</f>
        <v>65884</v>
      </c>
      <c r="O39" s="40">
        <f>L39+M39+N39</f>
        <v>691782</v>
      </c>
      <c r="P39" s="38">
        <f>D39*17.5%</f>
        <v>1152970</v>
      </c>
      <c r="Q39" s="38">
        <f t="shared" ref="Q39:Q41" si="24">D39*3%</f>
        <v>197652</v>
      </c>
      <c r="R39" s="38">
        <f t="shared" ref="R39:R41" si="25">D39*1%</f>
        <v>65884</v>
      </c>
      <c r="S39" s="40">
        <f t="shared" ref="S39:S41" si="26">P39+Q39+R39</f>
        <v>1416506</v>
      </c>
      <c r="T39" s="41">
        <f t="shared" si="19"/>
        <v>14681830.473999999</v>
      </c>
      <c r="U39" s="42"/>
      <c r="V39" s="70">
        <f t="shared" si="1"/>
        <v>14643612.473999999</v>
      </c>
      <c r="W39" s="71">
        <v>11000000</v>
      </c>
      <c r="X39" s="71"/>
      <c r="Y39" s="71">
        <f t="shared" si="15"/>
        <v>2951830.4739999995</v>
      </c>
      <c r="Z39" s="71">
        <f t="shared" si="16"/>
        <v>147592</v>
      </c>
    </row>
    <row r="40" spans="1:26" s="53" customFormat="1" ht="21.75" customHeight="1" x14ac:dyDescent="0.25">
      <c r="A40" s="62">
        <v>23</v>
      </c>
      <c r="B40" s="30" t="s">
        <v>149</v>
      </c>
      <c r="C40" s="31" t="s">
        <v>29</v>
      </c>
      <c r="D40" s="32">
        <f t="shared" si="20"/>
        <v>6588400</v>
      </c>
      <c r="E40" s="33">
        <v>26</v>
      </c>
      <c r="F40" s="34">
        <v>5616000</v>
      </c>
      <c r="G40" s="34">
        <v>972400</v>
      </c>
      <c r="H40" s="35">
        <v>3712800</v>
      </c>
      <c r="I40" s="35">
        <v>730000</v>
      </c>
      <c r="J40" s="35">
        <v>4342412.4740000004</v>
      </c>
      <c r="K40" s="36">
        <f t="shared" si="10"/>
        <v>15373612.473999999</v>
      </c>
      <c r="L40" s="37">
        <f t="shared" si="21"/>
        <v>527072</v>
      </c>
      <c r="M40" s="38">
        <f t="shared" si="22"/>
        <v>98826</v>
      </c>
      <c r="N40" s="39">
        <f t="shared" si="23"/>
        <v>65884</v>
      </c>
      <c r="O40" s="40">
        <f>L40+M40+N40</f>
        <v>691782</v>
      </c>
      <c r="P40" s="38">
        <f>D40*17.5%</f>
        <v>1152970</v>
      </c>
      <c r="Q40" s="38">
        <f t="shared" si="24"/>
        <v>197652</v>
      </c>
      <c r="R40" s="38">
        <f t="shared" si="25"/>
        <v>65884</v>
      </c>
      <c r="S40" s="40">
        <f t="shared" si="26"/>
        <v>1416506</v>
      </c>
      <c r="T40" s="41">
        <f t="shared" si="19"/>
        <v>14681830.473999999</v>
      </c>
      <c r="U40" s="42"/>
      <c r="V40" s="70">
        <f t="shared" si="1"/>
        <v>14643612.473999999</v>
      </c>
      <c r="W40" s="71">
        <v>11000000</v>
      </c>
      <c r="X40" s="71"/>
      <c r="Y40" s="71">
        <f t="shared" si="15"/>
        <v>2951830.4739999995</v>
      </c>
      <c r="Z40" s="71">
        <f t="shared" si="16"/>
        <v>147592</v>
      </c>
    </row>
    <row r="41" spans="1:26" s="53" customFormat="1" ht="21.75" customHeight="1" x14ac:dyDescent="0.25">
      <c r="A41" s="29">
        <v>24</v>
      </c>
      <c r="B41" s="63" t="s">
        <v>155</v>
      </c>
      <c r="C41" s="31" t="s">
        <v>30</v>
      </c>
      <c r="D41" s="32">
        <f t="shared" si="20"/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6040708.1780000003</v>
      </c>
      <c r="K41" s="36">
        <f t="shared" si="10"/>
        <v>17599708.177999999</v>
      </c>
      <c r="L41" s="37">
        <f t="shared" si="21"/>
        <v>459680</v>
      </c>
      <c r="M41" s="38">
        <f t="shared" si="22"/>
        <v>86190</v>
      </c>
      <c r="N41" s="39">
        <f t="shared" si="23"/>
        <v>57460</v>
      </c>
      <c r="O41" s="40">
        <f t="shared" ref="O41" si="27">L41+M41+N41</f>
        <v>603330</v>
      </c>
      <c r="P41" s="38">
        <f t="shared" ref="P41" si="28">D41*17.5%</f>
        <v>1005549.9999999999</v>
      </c>
      <c r="Q41" s="38">
        <f t="shared" si="24"/>
        <v>172380</v>
      </c>
      <c r="R41" s="38">
        <f t="shared" si="25"/>
        <v>57460</v>
      </c>
      <c r="S41" s="40">
        <f t="shared" si="26"/>
        <v>1235390</v>
      </c>
      <c r="T41" s="41">
        <f>K41-O41</f>
        <v>16996378.177999999</v>
      </c>
      <c r="U41" s="42"/>
      <c r="V41" s="70">
        <f t="shared" si="1"/>
        <v>16869708.177999999</v>
      </c>
      <c r="W41" s="71">
        <v>11000000</v>
      </c>
      <c r="X41" s="71"/>
      <c r="Y41" s="71">
        <f t="shared" si="15"/>
        <v>5266378.1779999994</v>
      </c>
      <c r="Z41" s="71">
        <f t="shared" si="16"/>
        <v>276638</v>
      </c>
    </row>
    <row r="42" spans="1:26" s="53" customFormat="1" ht="21.75" customHeight="1" x14ac:dyDescent="0.25">
      <c r="A42" s="62">
        <v>25</v>
      </c>
      <c r="B42" s="30" t="s">
        <v>156</v>
      </c>
      <c r="C42" s="31" t="s">
        <v>136</v>
      </c>
      <c r="D42" s="32"/>
      <c r="E42" s="33"/>
      <c r="F42" s="34">
        <v>20000000</v>
      </c>
      <c r="G42" s="34"/>
      <c r="H42" s="35"/>
      <c r="I42" s="35"/>
      <c r="J42" s="35"/>
      <c r="K42" s="36">
        <f t="shared" si="10"/>
        <v>20000000</v>
      </c>
      <c r="L42" s="37"/>
      <c r="M42" s="38"/>
      <c r="N42" s="39"/>
      <c r="O42" s="40"/>
      <c r="P42" s="38"/>
      <c r="Q42" s="38"/>
      <c r="R42" s="38"/>
      <c r="S42" s="40"/>
      <c r="T42" s="41">
        <f>K42-O42</f>
        <v>20000000</v>
      </c>
      <c r="U42" s="42"/>
      <c r="V42" s="70">
        <f t="shared" si="1"/>
        <v>20000000</v>
      </c>
      <c r="W42" s="71"/>
      <c r="X42" s="71"/>
      <c r="Y42" s="71">
        <f t="shared" si="15"/>
        <v>20000000</v>
      </c>
      <c r="Z42" s="71">
        <f>Y42*0.1</f>
        <v>2000000</v>
      </c>
    </row>
    <row r="43" spans="1:26" s="26" customFormat="1" ht="21.75" customHeight="1" x14ac:dyDescent="0.25">
      <c r="A43" s="92" t="s">
        <v>38</v>
      </c>
      <c r="B43" s="93"/>
      <c r="C43" s="94"/>
      <c r="D43" s="51">
        <f>SUM(D44:D52)</f>
        <v>48281600</v>
      </c>
      <c r="E43" s="51">
        <f t="shared" ref="E43:U43" si="29">SUM(E44:E52)</f>
        <v>182</v>
      </c>
      <c r="F43" s="51">
        <f t="shared" si="29"/>
        <v>34111800</v>
      </c>
      <c r="G43" s="51">
        <f t="shared" si="29"/>
        <v>7872600</v>
      </c>
      <c r="H43" s="51">
        <f t="shared" si="29"/>
        <v>26431600</v>
      </c>
      <c r="I43" s="51">
        <f t="shared" si="29"/>
        <v>5110000</v>
      </c>
      <c r="J43" s="51">
        <f t="shared" si="29"/>
        <v>0</v>
      </c>
      <c r="K43" s="51">
        <f>SUM(K44:K52)</f>
        <v>73526000</v>
      </c>
      <c r="L43" s="51">
        <f t="shared" si="29"/>
        <v>3358752</v>
      </c>
      <c r="M43" s="51">
        <f t="shared" si="29"/>
        <v>629766</v>
      </c>
      <c r="N43" s="51">
        <f t="shared" si="29"/>
        <v>419844</v>
      </c>
      <c r="O43" s="51">
        <f t="shared" si="29"/>
        <v>4408362</v>
      </c>
      <c r="P43" s="51">
        <f t="shared" si="29"/>
        <v>7347270</v>
      </c>
      <c r="Q43" s="51">
        <f t="shared" si="29"/>
        <v>1259532</v>
      </c>
      <c r="R43" s="51">
        <f t="shared" si="29"/>
        <v>419844</v>
      </c>
      <c r="S43" s="51">
        <f t="shared" si="29"/>
        <v>9026646</v>
      </c>
      <c r="T43" s="51">
        <f t="shared" si="29"/>
        <v>69117638</v>
      </c>
      <c r="U43" s="51">
        <f t="shared" si="29"/>
        <v>0</v>
      </c>
      <c r="V43" s="51">
        <f t="shared" ref="V43:Z43" si="30">SUM(V44:V51)</f>
        <v>58317600</v>
      </c>
      <c r="W43" s="51">
        <f t="shared" si="30"/>
        <v>66000000</v>
      </c>
      <c r="X43" s="51">
        <f>SUM(X44:X51)</f>
        <v>4400000</v>
      </c>
      <c r="Y43" s="51">
        <f t="shared" si="30"/>
        <v>0</v>
      </c>
      <c r="Z43" s="51">
        <f t="shared" si="30"/>
        <v>0</v>
      </c>
    </row>
    <row r="44" spans="1:26" s="26" customFormat="1" ht="21.75" customHeight="1" x14ac:dyDescent="0.25">
      <c r="A44" s="29">
        <v>25</v>
      </c>
      <c r="B44" s="30" t="s">
        <v>42</v>
      </c>
      <c r="C44" s="31" t="s">
        <v>41</v>
      </c>
      <c r="D44" s="43">
        <f t="shared" ref="D44:D52" si="31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 t="shared" ref="K44:K52" si="32">F44+G44+H44+I44</f>
        <v>10032400</v>
      </c>
      <c r="L44" s="37">
        <f t="shared" ref="L44:L52" si="33">D44*8%</f>
        <v>443632</v>
      </c>
      <c r="M44" s="38">
        <f t="shared" ref="M44:M52" si="34">D44*1.5%</f>
        <v>83181</v>
      </c>
      <c r="N44" s="39">
        <f t="shared" ref="N44:N52" si="35">D44*1%</f>
        <v>55454</v>
      </c>
      <c r="O44" s="40">
        <f t="shared" ref="O44:O52" si="36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2" si="37">P44+Q44+R44</f>
        <v>1192261</v>
      </c>
      <c r="T44" s="41">
        <f t="shared" ref="T44:T47" si="38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>ROUND(IF(Y44&gt;80000000,((Y44-80000000)*0.35+18150000),IF(AND(Y44&gt;52000000,Y44&lt;=80000000),((Y44-52000000)*0.3+9750000),IF(AND(Y44&gt;32000000,Y44&lt;=52000000),((Y44-32000000)*0.25+4750000),IF(AND(Y44&gt;18000000,Y44&lt;=32000000),((Y44-18000000)*0.2+1950000),IF(AND(Y44&gt;10000000,Y44&lt;=18000000),((Y44-10000000)*0.15+750000),IF(AND(Y44&gt;5000000,Y44&lt;=10000000),((Y44-5000000)*0.1+250000),(Y44*0.05))))))),0)</f>
        <v>0</v>
      </c>
    </row>
    <row r="45" spans="1:26" s="14" customFormat="1" ht="21.75" customHeight="1" x14ac:dyDescent="0.25">
      <c r="A45" s="29">
        <v>27</v>
      </c>
      <c r="B45" s="30" t="s">
        <v>157</v>
      </c>
      <c r="C45" s="31" t="s">
        <v>41</v>
      </c>
      <c r="D45" s="43">
        <f t="shared" ref="D45" si="39">F45+G45</f>
        <v>5746000</v>
      </c>
      <c r="E45" s="33">
        <v>26</v>
      </c>
      <c r="F45" s="34">
        <v>4773600</v>
      </c>
      <c r="G45" s="34">
        <v>972400</v>
      </c>
      <c r="H45" s="35">
        <v>3757000</v>
      </c>
      <c r="I45" s="35">
        <v>730000</v>
      </c>
      <c r="J45" s="35"/>
      <c r="K45" s="36">
        <f t="shared" ref="K45" si="40">F45+G45+H45+I45</f>
        <v>10233000</v>
      </c>
      <c r="L45" s="37">
        <f t="shared" ref="L45" si="41">D45*8%</f>
        <v>459680</v>
      </c>
      <c r="M45" s="38">
        <f t="shared" ref="M45" si="42">D45*1.5%</f>
        <v>86190</v>
      </c>
      <c r="N45" s="39">
        <f t="shared" ref="N45" si="43">D45*1%</f>
        <v>57460</v>
      </c>
      <c r="O45" s="40">
        <f t="shared" ref="O45" si="44">L45+M45+N45</f>
        <v>603330</v>
      </c>
      <c r="P45" s="38">
        <f t="shared" ref="P45" si="45">D45*17.5%</f>
        <v>1005549.9999999999</v>
      </c>
      <c r="Q45" s="38">
        <f t="shared" ref="Q45" si="46">D45*3%</f>
        <v>172380</v>
      </c>
      <c r="R45" s="38">
        <f t="shared" ref="R45" si="47">D45*1%</f>
        <v>57460</v>
      </c>
      <c r="S45" s="40">
        <f t="shared" ref="S45" si="48">P45+Q45+R45</f>
        <v>1235390</v>
      </c>
      <c r="T45" s="41">
        <f t="shared" ref="T45" si="49">K45-O45</f>
        <v>9629670</v>
      </c>
      <c r="U45" s="42"/>
      <c r="V45" s="70">
        <f t="shared" ref="V45" si="50">K45-I45</f>
        <v>9503000</v>
      </c>
      <c r="W45" s="71">
        <v>11000000</v>
      </c>
      <c r="X45" s="71"/>
      <c r="Y45" s="71">
        <f t="shared" ref="Y45" si="51">MAX(V45-O45-W45-X45,0)</f>
        <v>0</v>
      </c>
      <c r="Z45" s="71">
        <f t="shared" ref="Z45" si="52">ROUND(IF(Y45&gt;80000000,((Y45-80000000)*0.35+18150000),IF(AND(Y45&gt;52000000,Y45&lt;=80000000),((Y45-52000000)*0.3+9750000),IF(AND(Y45&gt;32000000,Y45&lt;=52000000),((Y45-32000000)*0.25+4750000),IF(AND(Y45&gt;18000000,Y45&lt;=32000000),((Y45-18000000)*0.2+1950000),IF(AND(Y45&gt;10000000,Y45&lt;=18000000),((Y45-10000000)*0.15+750000),IF(AND(Y45&gt;5000000,Y45&lt;=10000000),((Y45-5000000)*0.1+250000),(Y45*0.05))))))),0)</f>
        <v>0</v>
      </c>
    </row>
    <row r="46" spans="1:26" s="26" customFormat="1" ht="21.75" customHeight="1" x14ac:dyDescent="0.25">
      <c r="A46" s="29">
        <v>26</v>
      </c>
      <c r="B46" s="30" t="s">
        <v>79</v>
      </c>
      <c r="C46" s="31" t="s">
        <v>40</v>
      </c>
      <c r="D46" s="43">
        <f t="shared" si="31"/>
        <v>6055400</v>
      </c>
      <c r="E46" s="33">
        <v>26</v>
      </c>
      <c r="F46" s="34">
        <v>4862000</v>
      </c>
      <c r="G46" s="34">
        <v>1193400</v>
      </c>
      <c r="H46" s="35">
        <v>3757000</v>
      </c>
      <c r="I46" s="35">
        <v>730000</v>
      </c>
      <c r="J46" s="35"/>
      <c r="K46" s="36">
        <f t="shared" si="32"/>
        <v>10542400</v>
      </c>
      <c r="L46" s="37">
        <f t="shared" si="33"/>
        <v>484432</v>
      </c>
      <c r="M46" s="38">
        <f t="shared" si="34"/>
        <v>90831</v>
      </c>
      <c r="N46" s="39">
        <f t="shared" si="35"/>
        <v>60554</v>
      </c>
      <c r="O46" s="40">
        <f t="shared" si="36"/>
        <v>635817</v>
      </c>
      <c r="P46" s="38">
        <f t="shared" ref="P46:P49" si="53">D46*17.5%</f>
        <v>1059695</v>
      </c>
      <c r="Q46" s="38">
        <f t="shared" ref="Q46:Q52" si="54">D46*3%</f>
        <v>181662</v>
      </c>
      <c r="R46" s="38">
        <f t="shared" ref="R46:R52" si="55">D46*1%</f>
        <v>60554</v>
      </c>
      <c r="S46" s="40">
        <f t="shared" si="37"/>
        <v>1301911</v>
      </c>
      <c r="T46" s="41">
        <f t="shared" si="38"/>
        <v>9906583</v>
      </c>
      <c r="U46" s="42"/>
      <c r="V46" s="70">
        <f t="shared" si="1"/>
        <v>9812400</v>
      </c>
      <c r="W46" s="71">
        <v>11000000</v>
      </c>
      <c r="X46" s="71">
        <f>4400000</f>
        <v>4400000</v>
      </c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29">
        <v>27</v>
      </c>
      <c r="B47" s="30" t="s">
        <v>81</v>
      </c>
      <c r="C47" s="31" t="s">
        <v>41</v>
      </c>
      <c r="D47" s="43">
        <f t="shared" si="31"/>
        <v>5746000</v>
      </c>
      <c r="E47" s="33">
        <v>26</v>
      </c>
      <c r="F47" s="34">
        <v>4773600</v>
      </c>
      <c r="G47" s="34">
        <v>972400</v>
      </c>
      <c r="H47" s="35">
        <v>3757000</v>
      </c>
      <c r="I47" s="35">
        <v>730000</v>
      </c>
      <c r="J47" s="35"/>
      <c r="K47" s="36">
        <f t="shared" si="32"/>
        <v>10233000</v>
      </c>
      <c r="L47" s="37">
        <f t="shared" si="33"/>
        <v>459680</v>
      </c>
      <c r="M47" s="38">
        <f t="shared" si="34"/>
        <v>86190</v>
      </c>
      <c r="N47" s="39">
        <f t="shared" si="35"/>
        <v>57460</v>
      </c>
      <c r="O47" s="40">
        <f t="shared" si="36"/>
        <v>603330</v>
      </c>
      <c r="P47" s="38">
        <f t="shared" si="53"/>
        <v>1005549.9999999999</v>
      </c>
      <c r="Q47" s="38">
        <f t="shared" si="54"/>
        <v>172380</v>
      </c>
      <c r="R47" s="38">
        <f t="shared" si="55"/>
        <v>57460</v>
      </c>
      <c r="S47" s="40">
        <f t="shared" si="37"/>
        <v>1235390</v>
      </c>
      <c r="T47" s="41">
        <f t="shared" si="38"/>
        <v>9629670</v>
      </c>
      <c r="U47" s="42"/>
      <c r="V47" s="70">
        <f t="shared" si="1"/>
        <v>9503000</v>
      </c>
      <c r="W47" s="71">
        <v>11000000</v>
      </c>
      <c r="X47" s="71"/>
      <c r="Y47" s="71">
        <f t="shared" si="15"/>
        <v>0</v>
      </c>
      <c r="Z47" s="71">
        <f t="shared" si="16"/>
        <v>0</v>
      </c>
    </row>
    <row r="48" spans="1:26" s="14" customFormat="1" ht="21.75" customHeight="1" x14ac:dyDescent="0.25">
      <c r="A48" s="62"/>
      <c r="B48" s="30" t="s">
        <v>100</v>
      </c>
      <c r="C48" s="31" t="s">
        <v>117</v>
      </c>
      <c r="D48" s="43"/>
      <c r="E48" s="33"/>
      <c r="F48" s="34"/>
      <c r="G48" s="34"/>
      <c r="H48" s="35"/>
      <c r="I48" s="35"/>
      <c r="J48" s="35"/>
      <c r="K48" s="36"/>
      <c r="L48" s="37"/>
      <c r="M48" s="38"/>
      <c r="N48" s="39"/>
      <c r="O48" s="40"/>
      <c r="P48" s="38"/>
      <c r="Q48" s="38"/>
      <c r="R48" s="38"/>
      <c r="S48" s="40"/>
      <c r="T48" s="41"/>
      <c r="U48" s="42"/>
      <c r="V48" s="70"/>
      <c r="W48" s="71"/>
      <c r="X48" s="71"/>
      <c r="Y48" s="71">
        <f>MAX(V48-O48-W48-X48,0)</f>
        <v>0</v>
      </c>
      <c r="Z48" s="71">
        <f t="shared" si="16"/>
        <v>0</v>
      </c>
    </row>
    <row r="49" spans="1:26" s="14" customFormat="1" ht="17.25" customHeight="1" x14ac:dyDescent="0.25">
      <c r="A49" s="62">
        <v>28</v>
      </c>
      <c r="B49" s="30" t="s">
        <v>105</v>
      </c>
      <c r="C49" s="31" t="s">
        <v>40</v>
      </c>
      <c r="D49" s="43">
        <f t="shared" si="31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32"/>
        <v>10828400</v>
      </c>
      <c r="L49" s="37">
        <f t="shared" si="33"/>
        <v>503776</v>
      </c>
      <c r="M49" s="38">
        <f t="shared" si="34"/>
        <v>94458</v>
      </c>
      <c r="N49" s="39">
        <f t="shared" si="35"/>
        <v>62972</v>
      </c>
      <c r="O49" s="40">
        <f t="shared" si="36"/>
        <v>661206</v>
      </c>
      <c r="P49" s="38">
        <f t="shared" si="53"/>
        <v>1102010</v>
      </c>
      <c r="Q49" s="38">
        <f t="shared" si="54"/>
        <v>188916</v>
      </c>
      <c r="R49" s="38">
        <f t="shared" si="55"/>
        <v>62972</v>
      </c>
      <c r="S49" s="40">
        <f t="shared" si="37"/>
        <v>1353898</v>
      </c>
      <c r="T49" s="41">
        <f>K49-O49</f>
        <v>10167194</v>
      </c>
      <c r="U49" s="42"/>
      <c r="V49" s="70">
        <f t="shared" si="1"/>
        <v>10098400</v>
      </c>
      <c r="W49" s="71">
        <v>11000000</v>
      </c>
      <c r="X49" s="71"/>
      <c r="Y49" s="71">
        <f t="shared" si="15"/>
        <v>0</v>
      </c>
      <c r="Z49" s="71">
        <f t="shared" si="16"/>
        <v>0</v>
      </c>
    </row>
    <row r="50" spans="1:26" s="14" customFormat="1" ht="17.25" customHeight="1" x14ac:dyDescent="0.25">
      <c r="A50" s="29">
        <v>29</v>
      </c>
      <c r="B50" s="30" t="s">
        <v>106</v>
      </c>
      <c r="C50" s="31" t="s">
        <v>40</v>
      </c>
      <c r="D50" s="43">
        <v>6297200</v>
      </c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70"/>
      <c r="W50" s="71"/>
      <c r="X50" s="71"/>
      <c r="Y50" s="71"/>
      <c r="Z50" s="71"/>
    </row>
    <row r="51" spans="1:26" s="14" customFormat="1" ht="17.25" customHeight="1" x14ac:dyDescent="0.25">
      <c r="A51" s="29">
        <v>30</v>
      </c>
      <c r="B51" s="64" t="s">
        <v>124</v>
      </c>
      <c r="C51" s="31" t="s">
        <v>40</v>
      </c>
      <c r="D51" s="43">
        <f t="shared" si="31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32"/>
        <v>10828400</v>
      </c>
      <c r="L51" s="37">
        <f t="shared" si="33"/>
        <v>503776</v>
      </c>
      <c r="M51" s="38">
        <f t="shared" si="34"/>
        <v>94458</v>
      </c>
      <c r="N51" s="39">
        <f t="shared" si="35"/>
        <v>62972</v>
      </c>
      <c r="O51" s="40">
        <f t="shared" si="36"/>
        <v>661206</v>
      </c>
      <c r="P51" s="38">
        <f>D51*17.5%</f>
        <v>1102010</v>
      </c>
      <c r="Q51" s="38">
        <f t="shared" si="54"/>
        <v>188916</v>
      </c>
      <c r="R51" s="38">
        <f t="shared" si="55"/>
        <v>62972</v>
      </c>
      <c r="S51" s="40">
        <f t="shared" si="37"/>
        <v>1353898</v>
      </c>
      <c r="T51" s="41">
        <f>K51-O51</f>
        <v>10167194</v>
      </c>
      <c r="U51" s="42"/>
      <c r="V51" s="70">
        <f t="shared" si="1"/>
        <v>10098400</v>
      </c>
      <c r="W51" s="71">
        <v>11000000</v>
      </c>
      <c r="X51" s="71"/>
      <c r="Y51" s="71">
        <f t="shared" ref="Y51:Y52" si="56">MAX(V51-O51-W51-X51,0)</f>
        <v>0</v>
      </c>
      <c r="Z51" s="71">
        <f t="shared" ref="Z51:Z52" si="57">ROUND(IF(Y51&gt;80000000,((Y51-80000000)*0.35+18150000),IF(AND(Y51&gt;52000000,Y51&lt;=80000000),((Y51-52000000)*0.3+9750000),IF(AND(Y51&gt;32000000,Y51&lt;=52000000),((Y51-32000000)*0.25+4750000),IF(AND(Y51&gt;18000000,Y51&lt;=32000000),((Y51-18000000)*0.2+1950000),IF(AND(Y51&gt;10000000,Y51&lt;=18000000),((Y51-10000000)*0.15+750000),IF(AND(Y51&gt;5000000,Y51&lt;=10000000),((Y51-5000000)*0.1+250000),(Y51*0.05))))))),0)</f>
        <v>0</v>
      </c>
    </row>
    <row r="52" spans="1:26" s="14" customFormat="1" ht="17.25" customHeight="1" x14ac:dyDescent="0.25">
      <c r="A52" s="62">
        <v>31</v>
      </c>
      <c r="B52" s="30" t="s">
        <v>130</v>
      </c>
      <c r="C52" s="31" t="s">
        <v>40</v>
      </c>
      <c r="D52" s="43">
        <f t="shared" si="31"/>
        <v>6297200</v>
      </c>
      <c r="E52" s="33">
        <v>26</v>
      </c>
      <c r="F52" s="34">
        <v>5148000</v>
      </c>
      <c r="G52" s="34">
        <v>1149200</v>
      </c>
      <c r="H52" s="35">
        <v>3801200</v>
      </c>
      <c r="I52" s="35">
        <v>730000</v>
      </c>
      <c r="J52" s="35"/>
      <c r="K52" s="36">
        <f t="shared" si="32"/>
        <v>10828400</v>
      </c>
      <c r="L52" s="37">
        <f t="shared" si="33"/>
        <v>503776</v>
      </c>
      <c r="M52" s="38">
        <f t="shared" si="34"/>
        <v>94458</v>
      </c>
      <c r="N52" s="39">
        <f t="shared" si="35"/>
        <v>62972</v>
      </c>
      <c r="O52" s="40">
        <f t="shared" si="36"/>
        <v>661206</v>
      </c>
      <c r="P52" s="38">
        <f>D52*17.5%</f>
        <v>1102010</v>
      </c>
      <c r="Q52" s="38">
        <f t="shared" si="54"/>
        <v>188916</v>
      </c>
      <c r="R52" s="38">
        <f t="shared" si="55"/>
        <v>62972</v>
      </c>
      <c r="S52" s="40">
        <f t="shared" si="37"/>
        <v>1353898</v>
      </c>
      <c r="T52" s="41">
        <f>K52-O52</f>
        <v>10167194</v>
      </c>
      <c r="U52" s="42"/>
      <c r="V52" s="70">
        <f t="shared" si="1"/>
        <v>10098400</v>
      </c>
      <c r="W52" s="71">
        <v>11000000</v>
      </c>
      <c r="X52" s="71"/>
      <c r="Y52" s="71">
        <f t="shared" si="56"/>
        <v>0</v>
      </c>
      <c r="Z52" s="71">
        <f t="shared" si="57"/>
        <v>0</v>
      </c>
    </row>
    <row r="53" spans="1:26" s="14" customFormat="1" ht="19.5" customHeight="1" x14ac:dyDescent="0.25">
      <c r="A53" s="95" t="s">
        <v>43</v>
      </c>
      <c r="B53" s="96"/>
      <c r="C53" s="46"/>
      <c r="D53" s="47">
        <f t="shared" ref="D53:U53" si="58">D11+D13+D15+D43</f>
        <v>219056200</v>
      </c>
      <c r="E53" s="47">
        <f t="shared" si="58"/>
        <v>858</v>
      </c>
      <c r="F53" s="47">
        <f t="shared" si="58"/>
        <v>195169200</v>
      </c>
      <c r="G53" s="47">
        <f t="shared" si="58"/>
        <v>37589800</v>
      </c>
      <c r="H53" s="47">
        <f t="shared" si="58"/>
        <v>134544800</v>
      </c>
      <c r="I53" s="47">
        <f t="shared" si="58"/>
        <v>23360000</v>
      </c>
      <c r="J53" s="47">
        <f t="shared" si="58"/>
        <v>138334051.04550001</v>
      </c>
      <c r="K53" s="47">
        <f t="shared" si="58"/>
        <v>515832651.04549992</v>
      </c>
      <c r="L53" s="47">
        <f t="shared" si="58"/>
        <v>17020720</v>
      </c>
      <c r="M53" s="47">
        <f t="shared" si="58"/>
        <v>3191385</v>
      </c>
      <c r="N53" s="47">
        <f t="shared" si="58"/>
        <v>2127590</v>
      </c>
      <c r="O53" s="47">
        <f t="shared" si="58"/>
        <v>22339695</v>
      </c>
      <c r="P53" s="47">
        <f t="shared" si="58"/>
        <v>37232825</v>
      </c>
      <c r="Q53" s="47">
        <f t="shared" si="58"/>
        <v>6382770</v>
      </c>
      <c r="R53" s="47">
        <f t="shared" si="58"/>
        <v>2127590</v>
      </c>
      <c r="S53" s="47">
        <f t="shared" si="58"/>
        <v>45743185</v>
      </c>
      <c r="T53" s="47">
        <f t="shared" si="58"/>
        <v>494875302.04549992</v>
      </c>
      <c r="U53" s="47">
        <f t="shared" si="58"/>
        <v>0</v>
      </c>
      <c r="V53" s="47">
        <f>V11+V13+V15+V43</f>
        <v>482374251.04549992</v>
      </c>
      <c r="W53" s="47">
        <f t="shared" ref="W53" si="59">W11+W13+W15+W43</f>
        <v>341000000</v>
      </c>
      <c r="X53" s="47">
        <f>X11+X13+X15+X43</f>
        <v>105600000</v>
      </c>
      <c r="Y53" s="47">
        <f>Y11+Y13+Y15+Y43</f>
        <v>68913344.910999998</v>
      </c>
      <c r="Z53" s="47">
        <f>Z11+Z13+Z15+Z43</f>
        <v>4518490</v>
      </c>
    </row>
    <row r="54" spans="1:26" s="17" customFormat="1" ht="19.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L54" s="16"/>
      <c r="M54" s="16"/>
      <c r="N54" s="84" t="s">
        <v>151</v>
      </c>
      <c r="O54" s="84"/>
      <c r="P54" s="84"/>
      <c r="Q54" s="84"/>
      <c r="R54" s="84"/>
      <c r="S54" s="84"/>
      <c r="T54" s="84"/>
      <c r="U54" s="16"/>
      <c r="W54" s="72"/>
      <c r="X54" s="72"/>
      <c r="Y54" s="72"/>
      <c r="Z54" s="72"/>
    </row>
    <row r="55" spans="1:26" s="17" customFormat="1" ht="19.5" customHeight="1" x14ac:dyDescent="0.25">
      <c r="A55" s="10" t="s">
        <v>44</v>
      </c>
      <c r="B55" s="16"/>
      <c r="C55" s="16"/>
      <c r="D55" s="16"/>
      <c r="E55" s="10"/>
      <c r="F55" s="16"/>
      <c r="G55" s="10" t="s">
        <v>45</v>
      </c>
      <c r="H55" s="16"/>
      <c r="I55" s="16"/>
      <c r="J55" s="16"/>
      <c r="K55" s="16"/>
      <c r="M55" s="10"/>
      <c r="N55" s="97" t="s">
        <v>46</v>
      </c>
      <c r="O55" s="97"/>
      <c r="P55" s="97"/>
      <c r="Q55" s="97"/>
      <c r="R55" s="97"/>
      <c r="S55" s="97"/>
      <c r="T55" s="97"/>
      <c r="U55" s="16"/>
      <c r="W55" s="72"/>
      <c r="X55" s="72"/>
      <c r="Y55" s="72"/>
      <c r="Z55" s="72"/>
    </row>
    <row r="56" spans="1:26" s="17" customFormat="1" ht="19.5" customHeight="1" x14ac:dyDescent="0.25">
      <c r="A56" s="11" t="s">
        <v>47</v>
      </c>
      <c r="B56" s="16"/>
      <c r="C56" s="16"/>
      <c r="D56" s="11"/>
      <c r="E56" s="11"/>
      <c r="F56" s="11"/>
      <c r="G56" s="11" t="s">
        <v>48</v>
      </c>
      <c r="H56" s="11"/>
      <c r="I56" s="16"/>
      <c r="J56" s="16"/>
      <c r="K56" s="16"/>
      <c r="L56" s="16"/>
      <c r="M56" s="16"/>
      <c r="N56" s="84" t="s">
        <v>47</v>
      </c>
      <c r="O56" s="84"/>
      <c r="P56" s="84"/>
      <c r="Q56" s="84"/>
      <c r="R56" s="84"/>
      <c r="S56" s="84"/>
      <c r="T56" s="84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2"/>
      <c r="X57" s="72"/>
      <c r="Y57" s="72"/>
      <c r="Z57" s="72"/>
    </row>
    <row r="58" spans="1:26" s="17" customFormat="1" ht="19.5" customHeight="1" x14ac:dyDescent="0.25">
      <c r="A58" s="16"/>
      <c r="B58" s="16"/>
      <c r="C58" s="16"/>
      <c r="D58" s="16"/>
      <c r="E58" s="16"/>
      <c r="F58" s="16"/>
      <c r="G58" s="16"/>
      <c r="H58" s="16"/>
      <c r="I58" s="15"/>
      <c r="J58" s="15"/>
      <c r="K58" s="16"/>
      <c r="L58" s="16"/>
      <c r="M58" s="16"/>
      <c r="N58" s="16"/>
      <c r="O58" s="16"/>
      <c r="P58" s="16"/>
      <c r="Q58" s="16"/>
      <c r="R58" s="16"/>
      <c r="S58" s="16"/>
      <c r="T58" s="18"/>
      <c r="U58" s="16"/>
      <c r="W58" s="73"/>
      <c r="X58" s="73"/>
      <c r="Y58" s="73"/>
      <c r="Z58" s="73"/>
    </row>
    <row r="59" spans="1:26" ht="19.5" customHeight="1" x14ac:dyDescent="0.25">
      <c r="A59" s="16"/>
      <c r="B59" s="16"/>
      <c r="C59" s="16"/>
      <c r="D59" s="16"/>
      <c r="E59" s="16"/>
      <c r="F59" s="19"/>
      <c r="G59" s="16"/>
      <c r="H59" s="16"/>
      <c r="I59" s="16"/>
      <c r="J59" s="16"/>
      <c r="K59" s="18"/>
      <c r="L59" s="20"/>
      <c r="M59" s="21"/>
      <c r="O59" s="16"/>
      <c r="P59" s="16"/>
      <c r="Q59" s="16"/>
      <c r="R59" s="16"/>
      <c r="S59" s="16"/>
      <c r="T59" s="16"/>
      <c r="U59" s="12"/>
      <c r="W59" s="17"/>
      <c r="X59" s="17"/>
      <c r="Y59" s="17"/>
      <c r="Z59" s="17"/>
    </row>
    <row r="60" spans="1:26" ht="17.25" customHeight="1" x14ac:dyDescent="0.25">
      <c r="K60" s="22"/>
      <c r="L60" s="23"/>
      <c r="M60" s="24"/>
      <c r="W60" s="17"/>
      <c r="X60" s="17"/>
      <c r="Y60" s="17"/>
      <c r="Z60" s="17"/>
    </row>
    <row r="61" spans="1:26" x14ac:dyDescent="0.25">
      <c r="K61" s="22"/>
      <c r="W61" s="17"/>
      <c r="X61" s="17"/>
      <c r="Y61" s="17"/>
      <c r="Z61" s="17"/>
    </row>
    <row r="62" spans="1:26" x14ac:dyDescent="0.25">
      <c r="I62" s="25"/>
      <c r="J62" s="25"/>
      <c r="W62" s="17"/>
      <c r="X62" s="17"/>
      <c r="Y62" s="17"/>
      <c r="Z62" s="17"/>
    </row>
    <row r="63" spans="1:26" x14ac:dyDescent="0.25">
      <c r="D63" s="23"/>
      <c r="F63" s="22"/>
      <c r="G63" s="23"/>
      <c r="W63" s="17"/>
      <c r="X63" s="17"/>
      <c r="Y63" s="17"/>
      <c r="Z63" s="17"/>
    </row>
    <row r="64" spans="1:26" x14ac:dyDescent="0.25">
      <c r="F64" s="27"/>
    </row>
    <row r="66" spans="14:14" x14ac:dyDescent="0.25">
      <c r="N66" s="23"/>
    </row>
  </sheetData>
  <mergeCells count="28">
    <mergeCell ref="A43:C43"/>
    <mergeCell ref="A53:B53"/>
    <mergeCell ref="A15:C15"/>
    <mergeCell ref="F8:F9"/>
    <mergeCell ref="G8:I8"/>
    <mergeCell ref="J8:J9"/>
    <mergeCell ref="A13:C13"/>
    <mergeCell ref="A11:C11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N56:T56"/>
    <mergeCell ref="W8:W9"/>
    <mergeCell ref="X8:X9"/>
    <mergeCell ref="Y8:Y9"/>
    <mergeCell ref="Z8:Z9"/>
    <mergeCell ref="N54:T54"/>
    <mergeCell ref="N55:T55"/>
    <mergeCell ref="V8:V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topLeftCell="G34" workbookViewId="0">
      <selection activeCell="K16" sqref="K16:K41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4.285156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154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9" t="s">
        <v>15</v>
      </c>
      <c r="H9" s="79" t="s">
        <v>16</v>
      </c>
      <c r="I9" s="79" t="s">
        <v>17</v>
      </c>
      <c r="J9" s="82"/>
      <c r="K9" s="88"/>
      <c r="L9" s="78" t="s">
        <v>18</v>
      </c>
      <c r="M9" s="78" t="s">
        <v>19</v>
      </c>
      <c r="N9" s="78" t="s">
        <v>20</v>
      </c>
      <c r="O9" s="79" t="s">
        <v>21</v>
      </c>
      <c r="P9" s="78" t="s">
        <v>87</v>
      </c>
      <c r="Q9" s="78" t="s">
        <v>22</v>
      </c>
      <c r="R9" s="78" t="s">
        <v>20</v>
      </c>
      <c r="S9" s="79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/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1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/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SUM(D16:D42)</f>
        <v>145539400</v>
      </c>
      <c r="E15" s="51">
        <f t="shared" ref="E15:Z15" si="3">SUM(E16:E42)</f>
        <v>624</v>
      </c>
      <c r="F15" s="51">
        <f t="shared" si="3"/>
        <v>140465400</v>
      </c>
      <c r="G15" s="51">
        <f t="shared" si="3"/>
        <v>25074000</v>
      </c>
      <c r="H15" s="51">
        <f t="shared" si="3"/>
        <v>104179400</v>
      </c>
      <c r="I15" s="51">
        <f t="shared" si="3"/>
        <v>17520000</v>
      </c>
      <c r="J15" s="51">
        <f t="shared" si="3"/>
        <v>137717508.70500001</v>
      </c>
      <c r="K15" s="51">
        <f t="shared" si="3"/>
        <v>424956308.70500004</v>
      </c>
      <c r="L15" s="51">
        <f t="shared" si="3"/>
        <v>11643152</v>
      </c>
      <c r="M15" s="51">
        <f t="shared" si="3"/>
        <v>2183091</v>
      </c>
      <c r="N15" s="51">
        <f t="shared" si="3"/>
        <v>1455394</v>
      </c>
      <c r="O15" s="51">
        <f t="shared" si="3"/>
        <v>15281637</v>
      </c>
      <c r="P15" s="51">
        <f t="shared" si="3"/>
        <v>25469395</v>
      </c>
      <c r="Q15" s="51">
        <f t="shared" si="3"/>
        <v>4366182</v>
      </c>
      <c r="R15" s="51">
        <f t="shared" si="3"/>
        <v>1455394</v>
      </c>
      <c r="S15" s="51">
        <f t="shared" si="3"/>
        <v>31290971</v>
      </c>
      <c r="T15" s="51">
        <f t="shared" si="3"/>
        <v>409674671.70500004</v>
      </c>
      <c r="U15" s="51">
        <f t="shared" si="3"/>
        <v>0</v>
      </c>
      <c r="V15" s="51">
        <f t="shared" si="3"/>
        <v>407436308.70500004</v>
      </c>
      <c r="W15" s="51">
        <f t="shared" si="3"/>
        <v>264000000</v>
      </c>
      <c r="X15" s="51">
        <f t="shared" si="3"/>
        <v>101200000</v>
      </c>
      <c r="Y15" s="51">
        <f t="shared" si="3"/>
        <v>65307647.756499991</v>
      </c>
      <c r="Z15" s="51">
        <f t="shared" si="3"/>
        <v>2329004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7675083.2480000006</v>
      </c>
      <c r="K16" s="36">
        <f>F16+G16+H16+I16+J16</f>
        <v>18387883.248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8">P16+Q16+R16</f>
        <v>1348050</v>
      </c>
      <c r="T16" s="41">
        <f>K16-O16</f>
        <v>17729533.248</v>
      </c>
      <c r="U16" s="42"/>
      <c r="V16" s="70">
        <f>K16-I16</f>
        <v>17657883.248</v>
      </c>
      <c r="W16" s="71">
        <v>11000000</v>
      </c>
      <c r="X16" s="71"/>
      <c r="Y16" s="71">
        <f>MAX(V16-O16-W16-X16,0)</f>
        <v>5999533.2479999997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349953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9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6578642.784</v>
      </c>
      <c r="K17" s="36">
        <f t="shared" ref="K17:K41" si="10">F17+G17+H17+I17+J17</f>
        <v>16765842.784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8"/>
        <v>1235046</v>
      </c>
      <c r="T17" s="41">
        <f t="shared" ref="T17:T24" si="14">K17-O17</f>
        <v>16162680.784</v>
      </c>
      <c r="U17" s="42"/>
      <c r="V17" s="70">
        <f t="shared" si="1"/>
        <v>16035842.784</v>
      </c>
      <c r="W17" s="71">
        <v>11000000</v>
      </c>
      <c r="X17" s="71">
        <f>4400000</f>
        <v>4400000</v>
      </c>
      <c r="Y17" s="71">
        <f t="shared" ref="Y17:Y48" si="15">MAX(V17-O17-W17-X17,0)</f>
        <v>32680.783999999985</v>
      </c>
      <c r="Z17" s="71">
        <f t="shared" ref="Z17:Z48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1634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9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6578642.784</v>
      </c>
      <c r="K18" s="36">
        <f t="shared" si="10"/>
        <v>16765842.784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8"/>
        <v>1235046</v>
      </c>
      <c r="T18" s="41">
        <f t="shared" si="14"/>
        <v>16162680.784</v>
      </c>
      <c r="U18" s="42"/>
      <c r="V18" s="70">
        <f t="shared" si="1"/>
        <v>16035842.784</v>
      </c>
      <c r="W18" s="71">
        <v>11000000</v>
      </c>
      <c r="X18" s="71">
        <f>4400000</f>
        <v>4400000</v>
      </c>
      <c r="Y18" s="71">
        <f t="shared" si="15"/>
        <v>32680.783999999985</v>
      </c>
      <c r="Z18" s="71">
        <f t="shared" si="16"/>
        <v>1634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4385761.8559999997</v>
      </c>
      <c r="K19" s="36">
        <f t="shared" si="10"/>
        <v>15744161.855999999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15161894.855999999</v>
      </c>
      <c r="U19" s="42"/>
      <c r="V19" s="70">
        <f t="shared" si="1"/>
        <v>15014161.855999999</v>
      </c>
      <c r="W19" s="71">
        <v>11000000</v>
      </c>
      <c r="X19" s="71"/>
      <c r="Y19" s="71">
        <f t="shared" si="15"/>
        <v>3431894.8559999987</v>
      </c>
      <c r="Z19" s="71">
        <f t="shared" si="16"/>
        <v>171595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7388466.2725</v>
      </c>
      <c r="K20" s="36">
        <f t="shared" si="10"/>
        <v>18101266.272500001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17442916.272500001</v>
      </c>
      <c r="U20" s="42"/>
      <c r="V20" s="70">
        <f t="shared" si="1"/>
        <v>17371266.272500001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9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4385761.8559999997</v>
      </c>
      <c r="K21" s="36">
        <f t="shared" si="10"/>
        <v>15944761.855999999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8"/>
        <v>1235390</v>
      </c>
      <c r="T21" s="41">
        <f t="shared" si="14"/>
        <v>15341431.855999999</v>
      </c>
      <c r="U21" s="42"/>
      <c r="V21" s="70">
        <f t="shared" si="1"/>
        <v>15214761.855999999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4385761.8559999997</v>
      </c>
      <c r="K22" s="36">
        <f t="shared" si="10"/>
        <v>15944761.855999999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15341431.855999999</v>
      </c>
      <c r="U22" s="42"/>
      <c r="V22" s="70">
        <f t="shared" si="1"/>
        <v>15214761.855999999</v>
      </c>
      <c r="W22" s="71">
        <v>11000000</v>
      </c>
      <c r="X22" s="71"/>
      <c r="Y22" s="71">
        <f t="shared" si="15"/>
        <v>3611431.8559999987</v>
      </c>
      <c r="Z22" s="71">
        <f t="shared" si="16"/>
        <v>180572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4385761.8559999997</v>
      </c>
      <c r="K23" s="36">
        <f t="shared" si="10"/>
        <v>15944761.855999999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15341431.855999999</v>
      </c>
      <c r="U23" s="42"/>
      <c r="V23" s="70">
        <f t="shared" si="1"/>
        <v>15214761.855999999</v>
      </c>
      <c r="W23" s="71">
        <v>11000000</v>
      </c>
      <c r="X23" s="71"/>
      <c r="Y23" s="71">
        <f t="shared" si="15"/>
        <v>3611431.8559999987</v>
      </c>
      <c r="Z23" s="71">
        <f t="shared" si="16"/>
        <v>180572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9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6578642.784</v>
      </c>
      <c r="K24" s="36">
        <f t="shared" si="10"/>
        <v>17297842.784000002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8"/>
        <v>1349426</v>
      </c>
      <c r="T24" s="41">
        <f t="shared" si="14"/>
        <v>16638820.784000002</v>
      </c>
      <c r="U24" s="42"/>
      <c r="V24" s="70">
        <f t="shared" si="1"/>
        <v>16567842.784000002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9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5910773.0180000002</v>
      </c>
      <c r="K25" s="36">
        <f t="shared" si="10"/>
        <v>17469773.017999999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8"/>
        <v>1235390</v>
      </c>
      <c r="T25" s="41">
        <f>K25-O25</f>
        <v>16866443.017999999</v>
      </c>
      <c r="U25" s="42"/>
      <c r="V25" s="70">
        <f t="shared" si="1"/>
        <v>16739773.017999999</v>
      </c>
      <c r="W25" s="71">
        <v>11000000</v>
      </c>
      <c r="X25" s="71"/>
      <c r="Y25" s="71">
        <f t="shared" si="15"/>
        <v>5136443.0179999992</v>
      </c>
      <c r="Z25" s="71">
        <f t="shared" si="16"/>
        <v>263644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4385761.8559999997</v>
      </c>
      <c r="K26" s="36">
        <f t="shared" si="10"/>
        <v>15944761.855999999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>K26-O26</f>
        <v>15341431.855999999</v>
      </c>
      <c r="U26" s="42"/>
      <c r="V26" s="70">
        <f t="shared" si="1"/>
        <v>15214761.855999999</v>
      </c>
      <c r="W26" s="71">
        <v>11000000</v>
      </c>
      <c r="X26" s="71"/>
      <c r="Y26" s="71">
        <f t="shared" si="15"/>
        <v>3611431.8559999987</v>
      </c>
      <c r="Z26" s="71">
        <f t="shared" si="16"/>
        <v>180572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5910773.0180000002</v>
      </c>
      <c r="K27" s="36">
        <f t="shared" si="10"/>
        <v>17469773.017999999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ref="T27" si="17">K27-O27</f>
        <v>16866443.017999999</v>
      </c>
      <c r="U27" s="42"/>
      <c r="V27" s="70">
        <f t="shared" si="1"/>
        <v>16739773.017999999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/>
      <c r="B28" s="30" t="s">
        <v>91</v>
      </c>
      <c r="C28" s="31" t="s">
        <v>30</v>
      </c>
      <c r="D28" s="32"/>
      <c r="E28" s="33"/>
      <c r="F28" s="34"/>
      <c r="G28" s="34"/>
      <c r="H28" s="35"/>
      <c r="I28" s="35"/>
      <c r="J28" s="35"/>
      <c r="K28" s="36">
        <f t="shared" si="10"/>
        <v>0</v>
      </c>
      <c r="L28" s="37"/>
      <c r="M28" s="38"/>
      <c r="N28" s="39"/>
      <c r="O28" s="40"/>
      <c r="P28" s="38"/>
      <c r="Q28" s="38"/>
      <c r="R28" s="38"/>
      <c r="S28" s="40"/>
      <c r="T28" s="41"/>
      <c r="U28" s="42"/>
      <c r="V28" s="70"/>
      <c r="W28" s="71"/>
      <c r="X28" s="71"/>
      <c r="Y28" s="71"/>
      <c r="Z28" s="71"/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7388466.2725</v>
      </c>
      <c r="K29" s="36">
        <f t="shared" si="10"/>
        <v>18107666.272500001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ref="T29:T30" si="18">K29-O29</f>
        <v>17448644.272500001</v>
      </c>
      <c r="U29" s="42"/>
      <c r="V29" s="70">
        <f t="shared" si="1"/>
        <v>17377666.272500001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7388466.2725</v>
      </c>
      <c r="K30" s="36">
        <f t="shared" si="10"/>
        <v>18107666.272500001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8"/>
        <v>17448644.272500001</v>
      </c>
      <c r="U30" s="42"/>
      <c r="V30" s="70">
        <f t="shared" si="1"/>
        <v>17377666.272500001</v>
      </c>
      <c r="W30" s="71">
        <v>11000000</v>
      </c>
      <c r="X30" s="71">
        <f>4400000</f>
        <v>4400000</v>
      </c>
      <c r="Y30" s="71">
        <f t="shared" si="15"/>
        <v>1318644.2725000009</v>
      </c>
      <c r="Z30" s="71">
        <f t="shared" si="16"/>
        <v>65932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5910773.0180000002</v>
      </c>
      <c r="K31" s="36">
        <f t="shared" si="10"/>
        <v>17469773.017999999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>K31-O31</f>
        <v>16866443.017999999</v>
      </c>
      <c r="U31" s="42"/>
      <c r="V31" s="70">
        <f t="shared" si="1"/>
        <v>16739773.017999999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18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5910773.0180000002</v>
      </c>
      <c r="K32" s="36">
        <f t="shared" si="10"/>
        <v>17469773.017999999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>K32-O32</f>
        <v>16866443.017999999</v>
      </c>
      <c r="U32" s="42"/>
      <c r="V32" s="70">
        <f t="shared" si="1"/>
        <v>16739773.017999999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19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4385761.8559999997</v>
      </c>
      <c r="K33" s="36">
        <f t="shared" si="10"/>
        <v>15944761.855999999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>K33-O33</f>
        <v>15341431.855999999</v>
      </c>
      <c r="U33" s="42"/>
      <c r="V33" s="70">
        <f t="shared" si="1"/>
        <v>15214761.855999999</v>
      </c>
      <c r="W33" s="71">
        <v>11000000</v>
      </c>
      <c r="X33" s="71"/>
      <c r="Y33" s="71">
        <f t="shared" si="15"/>
        <v>3611431.8559999987</v>
      </c>
      <c r="Z33" s="71">
        <f t="shared" si="16"/>
        <v>180572</v>
      </c>
    </row>
    <row r="34" spans="1:26" s="53" customFormat="1" ht="21.75" customHeight="1" x14ac:dyDescent="0.25">
      <c r="A34" s="29">
        <v>20</v>
      </c>
      <c r="B34" s="30" t="s">
        <v>102</v>
      </c>
      <c r="C34" s="31" t="s">
        <v>118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10343852.781500001</v>
      </c>
      <c r="K34" s="36">
        <f t="shared" si="10"/>
        <v>22854452.781500001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>K34-O34</f>
        <v>22021256.781500001</v>
      </c>
      <c r="U34" s="42"/>
      <c r="V34" s="70">
        <f t="shared" si="1"/>
        <v>22124452.781500001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21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4385761.8559999997</v>
      </c>
      <c r="K35" s="36">
        <f t="shared" si="10"/>
        <v>15416961.855999999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ref="T35:T40" si="19">K35-O35</f>
        <v>14725179.855999999</v>
      </c>
      <c r="U35" s="42"/>
      <c r="V35" s="70">
        <f t="shared" si="1"/>
        <v>14686961.855999999</v>
      </c>
      <c r="W35" s="71">
        <v>11000000</v>
      </c>
      <c r="X35" s="71"/>
      <c r="Y35" s="71">
        <f t="shared" si="15"/>
        <v>2995179.8559999987</v>
      </c>
      <c r="Z35" s="71">
        <f t="shared" si="16"/>
        <v>149759</v>
      </c>
    </row>
    <row r="36" spans="1:26" s="53" customFormat="1" ht="21.75" customHeight="1" x14ac:dyDescent="0.25">
      <c r="A36" s="29">
        <v>22</v>
      </c>
      <c r="B36" s="30" t="s">
        <v>111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6578642.784</v>
      </c>
      <c r="K36" s="36">
        <f t="shared" si="10"/>
        <v>17609842.784000002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9"/>
        <v>16918060.784000002</v>
      </c>
      <c r="U36" s="42"/>
      <c r="V36" s="70">
        <f t="shared" si="1"/>
        <v>16879842.784000002</v>
      </c>
      <c r="W36" s="71">
        <v>11000000</v>
      </c>
      <c r="X36" s="71">
        <f>4400000</f>
        <v>4400000</v>
      </c>
      <c r="Y36" s="71">
        <f t="shared" si="15"/>
        <v>788060.78400000185</v>
      </c>
      <c r="Z36" s="71">
        <f t="shared" si="16"/>
        <v>39403</v>
      </c>
    </row>
    <row r="37" spans="1:26" s="53" customFormat="1" ht="21.75" customHeight="1" x14ac:dyDescent="0.25">
      <c r="A37" s="62">
        <v>23</v>
      </c>
      <c r="B37" s="30" t="s">
        <v>128</v>
      </c>
      <c r="C37" s="31" t="s">
        <v>129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2192880.9279999998</v>
      </c>
      <c r="K37" s="36">
        <f t="shared" si="10"/>
        <v>11890280.927999999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9"/>
        <v>11324624.927999999</v>
      </c>
      <c r="U37" s="42"/>
      <c r="V37" s="70">
        <f t="shared" si="1"/>
        <v>11160280.927999999</v>
      </c>
      <c r="W37" s="71">
        <v>11000000</v>
      </c>
      <c r="X37" s="71"/>
      <c r="Y37" s="71">
        <f t="shared" si="15"/>
        <v>0</v>
      </c>
      <c r="Z37" s="71">
        <f t="shared" si="16"/>
        <v>0</v>
      </c>
    </row>
    <row r="38" spans="1:26" s="53" customFormat="1" ht="21.75" customHeight="1" x14ac:dyDescent="0.25">
      <c r="A38" s="29"/>
      <c r="B38" s="30" t="s">
        <v>135</v>
      </c>
      <c r="C38" s="31" t="s">
        <v>136</v>
      </c>
      <c r="D38" s="32"/>
      <c r="E38" s="33"/>
      <c r="F38" s="34"/>
      <c r="G38" s="34"/>
      <c r="H38" s="35"/>
      <c r="I38" s="35"/>
      <c r="J38" s="35"/>
      <c r="K38" s="36">
        <f t="shared" si="10"/>
        <v>0</v>
      </c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 t="shared" ref="D39:D41" si="20">F39+G39</f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4385761.8559999997</v>
      </c>
      <c r="K39" s="36">
        <f t="shared" si="10"/>
        <v>15416961.855999999</v>
      </c>
      <c r="L39" s="37">
        <f t="shared" ref="L39:L41" si="21">D39*8%</f>
        <v>527072</v>
      </c>
      <c r="M39" s="38">
        <f t="shared" ref="M39:M41" si="22">D39*1.5%</f>
        <v>98826</v>
      </c>
      <c r="N39" s="39">
        <f t="shared" ref="N39:N41" si="23">D39*1%</f>
        <v>65884</v>
      </c>
      <c r="O39" s="40">
        <f>L39+M39+N39</f>
        <v>691782</v>
      </c>
      <c r="P39" s="38">
        <f>D39*17.5%</f>
        <v>1152970</v>
      </c>
      <c r="Q39" s="38">
        <f t="shared" ref="Q39:Q41" si="24">D39*3%</f>
        <v>197652</v>
      </c>
      <c r="R39" s="38">
        <f t="shared" ref="R39:R41" si="25">D39*1%</f>
        <v>65884</v>
      </c>
      <c r="S39" s="40">
        <f t="shared" ref="S39:S41" si="26">P39+Q39+R39</f>
        <v>1416506</v>
      </c>
      <c r="T39" s="41">
        <f t="shared" si="19"/>
        <v>14725179.855999999</v>
      </c>
      <c r="U39" s="42"/>
      <c r="V39" s="70">
        <f t="shared" si="1"/>
        <v>14686961.855999999</v>
      </c>
      <c r="W39" s="71">
        <v>11000000</v>
      </c>
      <c r="X39" s="71"/>
      <c r="Y39" s="71">
        <f t="shared" si="15"/>
        <v>2995179.8559999987</v>
      </c>
      <c r="Z39" s="71">
        <f t="shared" si="16"/>
        <v>149759</v>
      </c>
    </row>
    <row r="40" spans="1:26" s="53" customFormat="1" ht="21.75" customHeight="1" x14ac:dyDescent="0.25">
      <c r="A40" s="62">
        <v>23</v>
      </c>
      <c r="B40" s="30" t="s">
        <v>149</v>
      </c>
      <c r="C40" s="31" t="s">
        <v>29</v>
      </c>
      <c r="D40" s="32">
        <f t="shared" si="20"/>
        <v>6588400</v>
      </c>
      <c r="E40" s="33">
        <v>26</v>
      </c>
      <c r="F40" s="34">
        <v>5616000</v>
      </c>
      <c r="G40" s="34">
        <v>972400</v>
      </c>
      <c r="H40" s="35">
        <v>3712800</v>
      </c>
      <c r="I40" s="35">
        <v>730000</v>
      </c>
      <c r="J40" s="35">
        <v>4385761.8559999997</v>
      </c>
      <c r="K40" s="36">
        <f t="shared" si="10"/>
        <v>15416961.855999999</v>
      </c>
      <c r="L40" s="37">
        <f t="shared" si="21"/>
        <v>527072</v>
      </c>
      <c r="M40" s="38">
        <f t="shared" si="22"/>
        <v>98826</v>
      </c>
      <c r="N40" s="39">
        <f t="shared" si="23"/>
        <v>65884</v>
      </c>
      <c r="O40" s="40">
        <f>L40+M40+N40</f>
        <v>691782</v>
      </c>
      <c r="P40" s="38">
        <f>D40*17.5%</f>
        <v>1152970</v>
      </c>
      <c r="Q40" s="38">
        <f t="shared" si="24"/>
        <v>197652</v>
      </c>
      <c r="R40" s="38">
        <f t="shared" si="25"/>
        <v>65884</v>
      </c>
      <c r="S40" s="40">
        <f t="shared" si="26"/>
        <v>1416506</v>
      </c>
      <c r="T40" s="41">
        <f t="shared" si="19"/>
        <v>14725179.855999999</v>
      </c>
      <c r="U40" s="42"/>
      <c r="V40" s="70">
        <f t="shared" si="1"/>
        <v>14686961.855999999</v>
      </c>
      <c r="W40" s="71">
        <v>11000000</v>
      </c>
      <c r="X40" s="71"/>
      <c r="Y40" s="71">
        <f t="shared" si="15"/>
        <v>2995179.8559999987</v>
      </c>
      <c r="Z40" s="71">
        <f t="shared" si="16"/>
        <v>149759</v>
      </c>
    </row>
    <row r="41" spans="1:26" s="53" customFormat="1" ht="21.75" customHeight="1" x14ac:dyDescent="0.25">
      <c r="A41" s="29">
        <v>24</v>
      </c>
      <c r="B41" s="63" t="s">
        <v>155</v>
      </c>
      <c r="C41" s="31" t="s">
        <v>30</v>
      </c>
      <c r="D41" s="32">
        <f t="shared" si="20"/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5910773.0180000002</v>
      </c>
      <c r="K41" s="36">
        <f t="shared" si="10"/>
        <v>17469773.017999999</v>
      </c>
      <c r="L41" s="37">
        <f t="shared" si="21"/>
        <v>459680</v>
      </c>
      <c r="M41" s="38">
        <f t="shared" si="22"/>
        <v>86190</v>
      </c>
      <c r="N41" s="39">
        <f t="shared" si="23"/>
        <v>57460</v>
      </c>
      <c r="O41" s="40">
        <f t="shared" ref="O41" si="27">L41+M41+N41</f>
        <v>603330</v>
      </c>
      <c r="P41" s="38">
        <f t="shared" ref="P41" si="28">D41*17.5%</f>
        <v>1005549.9999999999</v>
      </c>
      <c r="Q41" s="38">
        <f t="shared" si="24"/>
        <v>172380</v>
      </c>
      <c r="R41" s="38">
        <f t="shared" si="25"/>
        <v>57460</v>
      </c>
      <c r="S41" s="40">
        <f t="shared" si="26"/>
        <v>1235390</v>
      </c>
      <c r="T41" s="41">
        <f>K41-O41</f>
        <v>16866443.017999999</v>
      </c>
      <c r="U41" s="42"/>
      <c r="V41" s="70">
        <f t="shared" si="1"/>
        <v>16739773.017999999</v>
      </c>
      <c r="W41" s="71">
        <v>11000000</v>
      </c>
      <c r="X41" s="71"/>
      <c r="Y41" s="71">
        <f t="shared" si="15"/>
        <v>5136443.0179999992</v>
      </c>
      <c r="Z41" s="71">
        <f t="shared" si="16"/>
        <v>263644</v>
      </c>
    </row>
    <row r="42" spans="1:26" s="53" customFormat="1" ht="21.75" customHeight="1" x14ac:dyDescent="0.25">
      <c r="A42" s="62">
        <v>25</v>
      </c>
      <c r="B42" s="30" t="s">
        <v>156</v>
      </c>
      <c r="C42" s="31" t="s">
        <v>136</v>
      </c>
      <c r="D42" s="32"/>
      <c r="E42" s="33"/>
      <c r="F42" s="34">
        <v>20000000</v>
      </c>
      <c r="G42" s="34"/>
      <c r="H42" s="35"/>
      <c r="I42" s="35"/>
      <c r="J42" s="35"/>
      <c r="K42" s="36">
        <f t="shared" ref="K39:K42" si="29">F42+G42+H42+I42</f>
        <v>20000000</v>
      </c>
      <c r="L42" s="37"/>
      <c r="M42" s="38"/>
      <c r="N42" s="39"/>
      <c r="O42" s="40"/>
      <c r="P42" s="38"/>
      <c r="Q42" s="38"/>
      <c r="R42" s="38"/>
      <c r="S42" s="40"/>
      <c r="T42" s="41">
        <f>K42-O42</f>
        <v>20000000</v>
      </c>
      <c r="U42" s="42"/>
      <c r="V42" s="70">
        <f t="shared" si="1"/>
        <v>20000000</v>
      </c>
      <c r="W42" s="71"/>
      <c r="X42" s="71"/>
      <c r="Y42" s="71">
        <f t="shared" si="15"/>
        <v>20000000</v>
      </c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42535600</v>
      </c>
      <c r="E43" s="51">
        <f t="shared" ref="E43:U43" si="30">SUM(E44:E51)</f>
        <v>156</v>
      </c>
      <c r="F43" s="51">
        <f t="shared" si="30"/>
        <v>29338200</v>
      </c>
      <c r="G43" s="51">
        <f t="shared" si="30"/>
        <v>6900200</v>
      </c>
      <c r="H43" s="51">
        <f t="shared" si="30"/>
        <v>22674600</v>
      </c>
      <c r="I43" s="51">
        <f t="shared" si="30"/>
        <v>4380000</v>
      </c>
      <c r="J43" s="51"/>
      <c r="K43" s="51">
        <f t="shared" si="30"/>
        <v>63293000</v>
      </c>
      <c r="L43" s="51">
        <f t="shared" si="30"/>
        <v>2899072</v>
      </c>
      <c r="M43" s="51">
        <f t="shared" si="30"/>
        <v>543576</v>
      </c>
      <c r="N43" s="51">
        <f t="shared" si="30"/>
        <v>362384</v>
      </c>
      <c r="O43" s="51">
        <f t="shared" si="30"/>
        <v>3805032</v>
      </c>
      <c r="P43" s="51">
        <f t="shared" si="30"/>
        <v>6341720</v>
      </c>
      <c r="Q43" s="51">
        <f t="shared" si="30"/>
        <v>1087152</v>
      </c>
      <c r="R43" s="51">
        <f t="shared" si="30"/>
        <v>362384</v>
      </c>
      <c r="S43" s="51">
        <f t="shared" si="30"/>
        <v>7791256</v>
      </c>
      <c r="T43" s="51">
        <f t="shared" si="30"/>
        <v>59487968</v>
      </c>
      <c r="U43" s="51">
        <f t="shared" si="30"/>
        <v>0</v>
      </c>
      <c r="V43" s="51">
        <f t="shared" ref="V43:Z43" si="31">SUM(V44:V50)</f>
        <v>48814600</v>
      </c>
      <c r="W43" s="51">
        <f t="shared" si="31"/>
        <v>55000000</v>
      </c>
      <c r="X43" s="51">
        <f>SUM(X44:X50)</f>
        <v>4400000</v>
      </c>
      <c r="Y43" s="51">
        <f t="shared" si="31"/>
        <v>0</v>
      </c>
      <c r="Z43" s="51">
        <f t="shared" si="31"/>
        <v>0</v>
      </c>
    </row>
    <row r="44" spans="1:26" s="26" customFormat="1" ht="21.75" customHeight="1" x14ac:dyDescent="0.25">
      <c r="A44" s="29">
        <v>25</v>
      </c>
      <c r="B44" s="30" t="s">
        <v>42</v>
      </c>
      <c r="C44" s="31" t="s">
        <v>41</v>
      </c>
      <c r="D44" s="43">
        <f t="shared" ref="D44:D51" si="32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 t="shared" ref="K44:K51" si="33">F44+G44+H44+I44</f>
        <v>10032400</v>
      </c>
      <c r="L44" s="37">
        <f t="shared" ref="L44:L51" si="34">D44*8%</f>
        <v>443632</v>
      </c>
      <c r="M44" s="38">
        <f t="shared" ref="M44:M51" si="35">D44*1.5%</f>
        <v>83181</v>
      </c>
      <c r="N44" s="39">
        <f t="shared" ref="N44:N51" si="36">D44*1%</f>
        <v>55454</v>
      </c>
      <c r="O44" s="40">
        <f t="shared" ref="O44:O51" si="37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1" si="38">P44+Q44+R44</f>
        <v>1192261</v>
      </c>
      <c r="T44" s="41">
        <f t="shared" ref="T44:T46" si="39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26</v>
      </c>
      <c r="B45" s="30" t="s">
        <v>79</v>
      </c>
      <c r="C45" s="31" t="s">
        <v>40</v>
      </c>
      <c r="D45" s="43">
        <f t="shared" si="32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si="33"/>
        <v>10542400</v>
      </c>
      <c r="L45" s="37">
        <f t="shared" si="34"/>
        <v>484432</v>
      </c>
      <c r="M45" s="38">
        <f t="shared" si="35"/>
        <v>90831</v>
      </c>
      <c r="N45" s="39">
        <f t="shared" si="36"/>
        <v>60554</v>
      </c>
      <c r="O45" s="40">
        <f t="shared" si="37"/>
        <v>635817</v>
      </c>
      <c r="P45" s="38">
        <f t="shared" ref="P45:P48" si="40">D45*17.5%</f>
        <v>1059695</v>
      </c>
      <c r="Q45" s="38">
        <f t="shared" ref="Q45:Q51" si="41">D45*3%</f>
        <v>181662</v>
      </c>
      <c r="R45" s="38">
        <f t="shared" ref="R45:R51" si="42">D45*1%</f>
        <v>60554</v>
      </c>
      <c r="S45" s="40">
        <f t="shared" si="38"/>
        <v>1301911</v>
      </c>
      <c r="T45" s="41">
        <f t="shared" si="39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27</v>
      </c>
      <c r="B46" s="30" t="s">
        <v>81</v>
      </c>
      <c r="C46" s="31" t="s">
        <v>41</v>
      </c>
      <c r="D46" s="43">
        <f t="shared" si="32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3"/>
        <v>10233000</v>
      </c>
      <c r="L46" s="37">
        <f t="shared" si="34"/>
        <v>459680</v>
      </c>
      <c r="M46" s="38">
        <f t="shared" si="35"/>
        <v>86190</v>
      </c>
      <c r="N46" s="39">
        <f t="shared" si="36"/>
        <v>57460</v>
      </c>
      <c r="O46" s="40">
        <f t="shared" si="37"/>
        <v>603330</v>
      </c>
      <c r="P46" s="38">
        <f t="shared" si="40"/>
        <v>1005549.9999999999</v>
      </c>
      <c r="Q46" s="38">
        <f t="shared" si="41"/>
        <v>172380</v>
      </c>
      <c r="R46" s="38">
        <f t="shared" si="42"/>
        <v>57460</v>
      </c>
      <c r="S46" s="40">
        <f t="shared" si="38"/>
        <v>1235390</v>
      </c>
      <c r="T46" s="41">
        <f t="shared" si="39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62">
        <v>28</v>
      </c>
      <c r="B48" s="30" t="s">
        <v>105</v>
      </c>
      <c r="C48" s="31" t="s">
        <v>40</v>
      </c>
      <c r="D48" s="43">
        <f t="shared" si="32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3"/>
        <v>10828400</v>
      </c>
      <c r="L48" s="37">
        <f t="shared" si="34"/>
        <v>503776</v>
      </c>
      <c r="M48" s="38">
        <f t="shared" si="35"/>
        <v>94458</v>
      </c>
      <c r="N48" s="39">
        <f t="shared" si="36"/>
        <v>62972</v>
      </c>
      <c r="O48" s="40">
        <f t="shared" si="37"/>
        <v>661206</v>
      </c>
      <c r="P48" s="38">
        <f t="shared" si="40"/>
        <v>1102010</v>
      </c>
      <c r="Q48" s="38">
        <f t="shared" si="41"/>
        <v>188916</v>
      </c>
      <c r="R48" s="38">
        <f t="shared" si="42"/>
        <v>62972</v>
      </c>
      <c r="S48" s="40">
        <f t="shared" si="38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>
        <v>29</v>
      </c>
      <c r="B49" s="30" t="s">
        <v>106</v>
      </c>
      <c r="C49" s="31" t="s">
        <v>40</v>
      </c>
      <c r="D49" s="43">
        <v>6297200</v>
      </c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70"/>
      <c r="W49" s="71"/>
      <c r="X49" s="71"/>
      <c r="Y49" s="71"/>
      <c r="Z49" s="71"/>
    </row>
    <row r="50" spans="1:26" s="14" customFormat="1" ht="17.25" customHeight="1" x14ac:dyDescent="0.25">
      <c r="A50" s="29">
        <v>30</v>
      </c>
      <c r="B50" s="64" t="s">
        <v>124</v>
      </c>
      <c r="C50" s="31" t="s">
        <v>40</v>
      </c>
      <c r="D50" s="43">
        <f t="shared" si="32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33"/>
        <v>10828400</v>
      </c>
      <c r="L50" s="37">
        <f t="shared" si="34"/>
        <v>503776</v>
      </c>
      <c r="M50" s="38">
        <f t="shared" si="35"/>
        <v>94458</v>
      </c>
      <c r="N50" s="39">
        <f t="shared" si="36"/>
        <v>62972</v>
      </c>
      <c r="O50" s="40">
        <f t="shared" si="37"/>
        <v>661206</v>
      </c>
      <c r="P50" s="38">
        <f>D50*17.5%</f>
        <v>1102010</v>
      </c>
      <c r="Q50" s="38">
        <f t="shared" si="41"/>
        <v>188916</v>
      </c>
      <c r="R50" s="38">
        <f t="shared" si="42"/>
        <v>62972</v>
      </c>
      <c r="S50" s="40">
        <f t="shared" si="38"/>
        <v>1353898</v>
      </c>
      <c r="T50" s="41">
        <f>K50-O50</f>
        <v>10167194</v>
      </c>
      <c r="U50" s="42"/>
      <c r="V50" s="70">
        <f t="shared" si="1"/>
        <v>10098400</v>
      </c>
      <c r="W50" s="71">
        <v>11000000</v>
      </c>
      <c r="X50" s="71"/>
      <c r="Y50" s="71">
        <f t="shared" ref="Y50:Y51" si="43">MAX(V50-O50-W50-X50,0)</f>
        <v>0</v>
      </c>
      <c r="Z50" s="71">
        <f t="shared" ref="Z50:Z51" si="44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31</v>
      </c>
      <c r="B51" s="30" t="s">
        <v>130</v>
      </c>
      <c r="C51" s="31" t="s">
        <v>40</v>
      </c>
      <c r="D51" s="43">
        <f t="shared" si="32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33"/>
        <v>10828400</v>
      </c>
      <c r="L51" s="37">
        <f t="shared" si="34"/>
        <v>503776</v>
      </c>
      <c r="M51" s="38">
        <f t="shared" si="35"/>
        <v>94458</v>
      </c>
      <c r="N51" s="39">
        <f t="shared" si="36"/>
        <v>62972</v>
      </c>
      <c r="O51" s="40">
        <f t="shared" si="37"/>
        <v>661206</v>
      </c>
      <c r="P51" s="38">
        <f>D51*17.5%</f>
        <v>1102010</v>
      </c>
      <c r="Q51" s="38">
        <f t="shared" si="41"/>
        <v>188916</v>
      </c>
      <c r="R51" s="38">
        <f t="shared" si="42"/>
        <v>62972</v>
      </c>
      <c r="S51" s="40">
        <f t="shared" si="38"/>
        <v>1353898</v>
      </c>
      <c r="T51" s="41">
        <f>K51-O51</f>
        <v>10167194</v>
      </c>
      <c r="U51" s="42"/>
      <c r="V51" s="70">
        <f t="shared" si="1"/>
        <v>10098400</v>
      </c>
      <c r="W51" s="71">
        <v>11000000</v>
      </c>
      <c r="X51" s="71"/>
      <c r="Y51" s="71">
        <f t="shared" si="43"/>
        <v>0</v>
      </c>
      <c r="Z51" s="71">
        <f t="shared" si="44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U52" si="45">D11+D13+D15+D43</f>
        <v>213310200</v>
      </c>
      <c r="E52" s="47">
        <f t="shared" si="45"/>
        <v>832</v>
      </c>
      <c r="F52" s="47">
        <f t="shared" si="45"/>
        <v>190395600</v>
      </c>
      <c r="G52" s="47">
        <f t="shared" si="45"/>
        <v>36617400</v>
      </c>
      <c r="H52" s="47">
        <f t="shared" si="45"/>
        <v>130787800</v>
      </c>
      <c r="I52" s="47">
        <f t="shared" si="45"/>
        <v>22630000</v>
      </c>
      <c r="J52" s="47"/>
      <c r="K52" s="47">
        <f t="shared" si="45"/>
        <v>504983108.70500004</v>
      </c>
      <c r="L52" s="47">
        <f t="shared" si="45"/>
        <v>16561040</v>
      </c>
      <c r="M52" s="47">
        <f t="shared" si="45"/>
        <v>3105195</v>
      </c>
      <c r="N52" s="47">
        <f t="shared" si="45"/>
        <v>2070130</v>
      </c>
      <c r="O52" s="47">
        <f t="shared" si="45"/>
        <v>21736365</v>
      </c>
      <c r="P52" s="47">
        <f t="shared" si="45"/>
        <v>36227275</v>
      </c>
      <c r="Q52" s="47">
        <f t="shared" si="45"/>
        <v>6210390</v>
      </c>
      <c r="R52" s="47">
        <f t="shared" si="45"/>
        <v>2070130</v>
      </c>
      <c r="S52" s="47">
        <f t="shared" si="45"/>
        <v>44507795</v>
      </c>
      <c r="T52" s="47">
        <f t="shared" si="45"/>
        <v>484629089.70500004</v>
      </c>
      <c r="U52" s="47">
        <f t="shared" si="45"/>
        <v>0</v>
      </c>
      <c r="V52" s="47">
        <f>V11+V13+V15+V43</f>
        <v>472254708.70500004</v>
      </c>
      <c r="W52" s="47">
        <f t="shared" ref="W52" si="46">W11+W13+W15+W43</f>
        <v>330000000</v>
      </c>
      <c r="X52" s="47">
        <f>X11+X13+X15+X43</f>
        <v>105600000</v>
      </c>
      <c r="Y52" s="47">
        <f>Y11+Y13+Y15+Y43</f>
        <v>69044097.756499991</v>
      </c>
      <c r="Z52" s="47">
        <f>Z11+Z13+Z15+Z43</f>
        <v>2515827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151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43:C43"/>
    <mergeCell ref="A52:B52"/>
    <mergeCell ref="A15:C15"/>
    <mergeCell ref="F8:F9"/>
    <mergeCell ref="G8:I8"/>
    <mergeCell ref="J8:J9"/>
    <mergeCell ref="A13:C13"/>
    <mergeCell ref="A11:C11"/>
    <mergeCell ref="A5:U5"/>
    <mergeCell ref="A6:U6"/>
    <mergeCell ref="K8:K9"/>
    <mergeCell ref="L8:O8"/>
    <mergeCell ref="P8:S8"/>
    <mergeCell ref="U8:U9"/>
    <mergeCell ref="T8:T9"/>
    <mergeCell ref="A8:A9"/>
    <mergeCell ref="B8:B9"/>
    <mergeCell ref="C8:C9"/>
    <mergeCell ref="D8:D9"/>
    <mergeCell ref="E8:E9"/>
    <mergeCell ref="N55:T55"/>
    <mergeCell ref="W8:W9"/>
    <mergeCell ref="X8:X9"/>
    <mergeCell ref="Y8:Y9"/>
    <mergeCell ref="Z8:Z9"/>
    <mergeCell ref="N53:T53"/>
    <mergeCell ref="N54:T54"/>
    <mergeCell ref="V8:V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opLeftCell="A7" workbookViewId="0">
      <selection activeCell="H38" sqref="H38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140625" style="13" customWidth="1"/>
    <col min="4" max="4" width="12.42578125" style="13" customWidth="1"/>
    <col min="5" max="5" width="12" style="13" bestFit="1" customWidth="1"/>
    <col min="6" max="6" width="12" style="13" customWidth="1"/>
    <col min="7" max="14" width="11.7109375" style="13" bestFit="1" customWidth="1"/>
    <col min="15" max="15" width="12" style="13" bestFit="1" customWidth="1"/>
    <col min="16" max="16" width="12.140625" style="67" customWidth="1"/>
    <col min="17" max="17" width="13.5703125" style="13" bestFit="1" customWidth="1"/>
    <col min="18" max="18" width="6" style="13" bestFit="1" customWidth="1"/>
    <col min="19" max="21" width="13.5703125" style="13" bestFit="1" customWidth="1"/>
    <col min="22" max="22" width="12" style="13" bestFit="1" customWidth="1"/>
    <col min="23" max="23" width="10.7109375" style="13" customWidth="1"/>
    <col min="24" max="24" width="12" style="13" bestFit="1" customWidth="1"/>
    <col min="25" max="25" width="10.7109375" style="13" customWidth="1"/>
    <col min="26" max="16384" width="9.140625" style="13"/>
  </cols>
  <sheetData>
    <row r="1" spans="1:25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66"/>
      <c r="Q1" s="12"/>
      <c r="R1" s="12"/>
    </row>
    <row r="2" spans="1:25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66"/>
      <c r="Q2" s="12"/>
      <c r="R2" s="12"/>
    </row>
    <row r="3" spans="1:25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66"/>
      <c r="Q3" s="12"/>
      <c r="R3" s="12"/>
    </row>
    <row r="4" spans="1:25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66"/>
      <c r="Q4" s="12"/>
      <c r="R4" s="12"/>
    </row>
    <row r="5" spans="1:25" ht="20.25" x14ac:dyDescent="0.25">
      <c r="A5" s="85" t="s">
        <v>63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5" ht="18.75" x14ac:dyDescent="0.25">
      <c r="A6" s="86" t="s">
        <v>139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25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4"/>
      <c r="R7" s="12"/>
    </row>
    <row r="8" spans="1:25" s="14" customFormat="1" ht="12.75" customHeight="1" x14ac:dyDescent="0.25">
      <c r="A8" s="81" t="s">
        <v>3</v>
      </c>
      <c r="B8" s="81" t="s">
        <v>4</v>
      </c>
      <c r="C8" s="81" t="s">
        <v>5</v>
      </c>
      <c r="D8" s="89" t="s">
        <v>140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7" t="s">
        <v>11</v>
      </c>
      <c r="Q8" s="90" t="s">
        <v>76</v>
      </c>
      <c r="R8" s="101" t="s">
        <v>14</v>
      </c>
      <c r="S8" s="83" t="s">
        <v>113</v>
      </c>
      <c r="T8" s="101" t="s">
        <v>120</v>
      </c>
      <c r="U8" s="101" t="s">
        <v>123</v>
      </c>
      <c r="V8" s="101" t="s">
        <v>138</v>
      </c>
      <c r="W8" s="101" t="s">
        <v>137</v>
      </c>
      <c r="X8" s="101" t="s">
        <v>142</v>
      </c>
      <c r="Y8" s="101" t="s">
        <v>143</v>
      </c>
    </row>
    <row r="9" spans="1:25" s="57" customFormat="1" ht="12.75" x14ac:dyDescent="0.2">
      <c r="A9" s="82"/>
      <c r="B9" s="82"/>
      <c r="C9" s="8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87"/>
      <c r="Q9" s="104"/>
      <c r="R9" s="103"/>
      <c r="S9" s="83"/>
      <c r="T9" s="102"/>
      <c r="U9" s="103"/>
      <c r="V9" s="102"/>
      <c r="W9" s="102"/>
      <c r="X9" s="102"/>
      <c r="Y9" s="102"/>
    </row>
    <row r="10" spans="1:25" s="14" customFormat="1" ht="12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65">
        <v>16</v>
      </c>
      <c r="Q10" s="5">
        <v>17</v>
      </c>
      <c r="R10" s="6">
        <v>18</v>
      </c>
      <c r="S10" s="6">
        <v>20</v>
      </c>
      <c r="T10" s="6">
        <v>20</v>
      </c>
      <c r="U10" s="6"/>
      <c r="V10" s="6">
        <v>20</v>
      </c>
      <c r="W10" s="6">
        <v>20</v>
      </c>
      <c r="X10" s="6">
        <v>20</v>
      </c>
      <c r="Y10" s="6">
        <v>20</v>
      </c>
    </row>
    <row r="11" spans="1:25" s="55" customFormat="1" ht="21.75" customHeight="1" x14ac:dyDescent="0.25">
      <c r="A11" s="98" t="s">
        <v>96</v>
      </c>
      <c r="B11" s="99"/>
      <c r="C11" s="100"/>
      <c r="D11" s="50">
        <f t="shared" ref="D11:Q11" si="0">SUM(D12:D12)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16588152</v>
      </c>
      <c r="Q11" s="50">
        <f t="shared" si="0"/>
        <v>0</v>
      </c>
      <c r="R11" s="54"/>
      <c r="S11" s="51">
        <f t="shared" ref="S11:Y11" si="1">SUM(S12:S12)</f>
        <v>0</v>
      </c>
      <c r="T11" s="51">
        <f t="shared" si="1"/>
        <v>0</v>
      </c>
      <c r="U11" s="51">
        <f t="shared" si="1"/>
        <v>0</v>
      </c>
      <c r="V11" s="51">
        <f t="shared" si="1"/>
        <v>0</v>
      </c>
      <c r="W11" s="51">
        <f t="shared" si="1"/>
        <v>0</v>
      </c>
      <c r="X11" s="51">
        <f t="shared" si="1"/>
        <v>0</v>
      </c>
      <c r="Y11" s="51">
        <f t="shared" si="1"/>
        <v>0</v>
      </c>
    </row>
    <row r="12" spans="1:25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'T1'!K12</f>
        <v>0</v>
      </c>
      <c r="E12" s="58">
        <f>'T2'!K12</f>
        <v>0</v>
      </c>
      <c r="F12" s="34">
        <f>'T3'!K12</f>
        <v>0</v>
      </c>
      <c r="G12" s="34">
        <f>'T4'!K12</f>
        <v>0</v>
      </c>
      <c r="H12" s="35">
        <f>'T5'!K12</f>
        <v>0</v>
      </c>
      <c r="I12" s="35">
        <f>'T6'!K12</f>
        <v>0</v>
      </c>
      <c r="J12" s="34">
        <f>'T7'!J12</f>
        <v>0</v>
      </c>
      <c r="K12" s="37">
        <f>'T8'!J12</f>
        <v>0</v>
      </c>
      <c r="L12" s="38">
        <f>'T9'!J12</f>
        <v>0</v>
      </c>
      <c r="M12" s="39">
        <f>'T10'!J12</f>
        <v>0</v>
      </c>
      <c r="N12" s="38">
        <f>'T11'!J12</f>
        <v>0</v>
      </c>
      <c r="O12" s="38">
        <f>'T12'!J12</f>
        <v>0</v>
      </c>
      <c r="P12" s="40">
        <f>'T1'!O12+'T2'!O12+'T3'!O12+'T4'!O12+'T5'!O12+'T6'!O12+'T7'!O12+'T8'!O12+'T9'!O12+'T10'!O12+'T11'!O12+'T12'!O12</f>
        <v>16588152</v>
      </c>
      <c r="Q12" s="61">
        <v>0</v>
      </c>
      <c r="R12" s="42"/>
      <c r="S12" s="70">
        <f>H12-F12</f>
        <v>0</v>
      </c>
      <c r="T12" s="71"/>
      <c r="U12" s="71"/>
      <c r="V12" s="71"/>
      <c r="W12" s="71"/>
      <c r="X12" s="71"/>
      <c r="Y12" s="71"/>
    </row>
    <row r="13" spans="1:25" s="55" customFormat="1" ht="21.75" customHeight="1" x14ac:dyDescent="0.25">
      <c r="A13" s="98" t="s">
        <v>23</v>
      </c>
      <c r="B13" s="99"/>
      <c r="C13" s="100"/>
      <c r="D13" s="50">
        <f>SUM(D14)</f>
        <v>16733800</v>
      </c>
      <c r="E13" s="50">
        <f t="shared" ref="E13:P13" si="2">SUM(E14)</f>
        <v>16733800</v>
      </c>
      <c r="F13" s="50">
        <f t="shared" si="2"/>
        <v>16733800</v>
      </c>
      <c r="G13" s="50">
        <f t="shared" si="2"/>
        <v>16733800</v>
      </c>
      <c r="H13" s="50">
        <f t="shared" si="2"/>
        <v>16733800</v>
      </c>
      <c r="I13" s="50">
        <f t="shared" si="2"/>
        <v>16733800</v>
      </c>
      <c r="J13" s="50">
        <f t="shared" si="2"/>
        <v>16733800</v>
      </c>
      <c r="K13" s="50">
        <f t="shared" si="2"/>
        <v>16733800</v>
      </c>
      <c r="L13" s="50">
        <f t="shared" si="2"/>
        <v>16733800</v>
      </c>
      <c r="M13" s="50">
        <f t="shared" si="2"/>
        <v>16733800</v>
      </c>
      <c r="N13" s="50">
        <f t="shared" si="2"/>
        <v>16733800</v>
      </c>
      <c r="O13" s="50">
        <f t="shared" si="2"/>
        <v>16733800</v>
      </c>
      <c r="P13" s="50">
        <f t="shared" si="2"/>
        <v>15208200</v>
      </c>
      <c r="Q13" s="50">
        <f>SUM(Q14)</f>
        <v>185597400</v>
      </c>
      <c r="R13" s="50"/>
      <c r="S13" s="50">
        <f t="shared" ref="S13:W13" si="3">SUM(S14)</f>
        <v>192045600</v>
      </c>
      <c r="T13" s="50">
        <f t="shared" si="3"/>
        <v>132000000</v>
      </c>
      <c r="U13" s="50">
        <f t="shared" si="3"/>
        <v>0</v>
      </c>
      <c r="V13" s="50">
        <f t="shared" si="3"/>
        <v>44837400</v>
      </c>
      <c r="W13" s="50">
        <f t="shared" si="3"/>
        <v>2241876</v>
      </c>
      <c r="X13" s="50">
        <f t="shared" ref="X13" si="4">SUM(X14)</f>
        <v>44837400</v>
      </c>
      <c r="Y13" s="50">
        <f t="shared" ref="Y13" si="5">SUM(Y14)</f>
        <v>0</v>
      </c>
    </row>
    <row r="14" spans="1:25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'T1'!K14</f>
        <v>16733800</v>
      </c>
      <c r="E14" s="58">
        <f>'T2'!K14</f>
        <v>16733800</v>
      </c>
      <c r="F14" s="34">
        <f>'T3'!K14</f>
        <v>16733800</v>
      </c>
      <c r="G14" s="34">
        <f>'T4'!K14</f>
        <v>16733800</v>
      </c>
      <c r="H14" s="35">
        <f>'T5'!K14</f>
        <v>16733800</v>
      </c>
      <c r="I14" s="35">
        <f>'T6'!K14</f>
        <v>16733800</v>
      </c>
      <c r="J14" s="34">
        <f>'T7'!K14</f>
        <v>16733800</v>
      </c>
      <c r="K14" s="37">
        <f>'T8'!K14</f>
        <v>16733800</v>
      </c>
      <c r="L14" s="38">
        <f>'T9'!K14</f>
        <v>16733800</v>
      </c>
      <c r="M14" s="39">
        <f>'T10'!K14</f>
        <v>16733800</v>
      </c>
      <c r="N14" s="38">
        <f>'T11'!K14</f>
        <v>16733800</v>
      </c>
      <c r="O14" s="38">
        <f>'T12'!K14</f>
        <v>16733800</v>
      </c>
      <c r="P14" s="40">
        <f>'T1'!O14+'T2'!O14+'T3'!O14+'T4'!O14+'T5'!O14+'T6'!O14+'T7'!O14+'T8'!O14+'T9'!O14+'T10'!O14+'T11'!O14+'T12'!O14</f>
        <v>15208200</v>
      </c>
      <c r="Q14" s="61">
        <f>SUM(D14:O14)-P14</f>
        <v>185597400</v>
      </c>
      <c r="R14" s="42"/>
      <c r="S14" s="70">
        <f>'T1'!V14+'T2'!V14+'T3'!V14+'T4'!V14+'T5'!V14+'T6'!V14+'T7'!V14+'T8'!V14+'T9'!V14+'T10'!V14+'T11'!V14+'T12'!V14</f>
        <v>192045600</v>
      </c>
      <c r="T14" s="71">
        <f>'T1'!W14+'T2'!W14+'T3'!W14+'T4'!W14+'T5'!W14+'T6'!W14+'T7'!W14+'T8'!W14+'T9'!W14+'T10'!W14+'T11'!W14+'T12'!W14</f>
        <v>132000000</v>
      </c>
      <c r="U14" s="71">
        <f>'T1'!X14+'T2'!X14+'T3'!X14+'T4'!X14+'T5'!X14+'T6'!X14+'T7'!X14+'T8'!X14+'T9'!X14+'T10'!X14+'T11'!X14+'T12'!X14</f>
        <v>0</v>
      </c>
      <c r="V14" s="71">
        <f>'T1'!Y14+'T2'!Y14+'T3'!Y14+'T4'!Y14+'T5'!Y14+'T6'!Y14+'T7'!Y14+'T8'!Y14+'T9'!Y14+'T10'!Y14+'T11'!Y14+'T12'!Y14</f>
        <v>44837400</v>
      </c>
      <c r="W14" s="71">
        <f>'T1'!Z14+'T2'!Z14+'T3'!Z14+'T4'!Z14+'T5'!Z14+'T6'!Z14+'T7'!Z14+'T8'!Z14+'T9'!Z14+'T10'!Z14+'T11'!Z14+'T12'!Z14</f>
        <v>2241876</v>
      </c>
      <c r="X14" s="71">
        <f>MAX(S14-T14-U14-P14,0)</f>
        <v>44837400</v>
      </c>
      <c r="Y14" s="71">
        <f>'T1'!AB14+'T2'!AB14+'T3'!AB14+'T4'!AB14+'T5'!AB14+'T6'!AB14+'T7'!AB14+'T8'!AB14+'T9'!AB14+'T10'!AB14+'T11'!AB14+'T12'!AB14</f>
        <v>0</v>
      </c>
    </row>
    <row r="15" spans="1:25" s="53" customFormat="1" ht="21.75" customHeight="1" x14ac:dyDescent="0.25">
      <c r="A15" s="92" t="s">
        <v>28</v>
      </c>
      <c r="B15" s="93"/>
      <c r="C15" s="94"/>
      <c r="D15" s="50">
        <f>SUM(D16:D38)</f>
        <v>349395776.16649997</v>
      </c>
      <c r="E15" s="50">
        <f t="shared" ref="E15:Q15" si="6">SUM(E16:E38)</f>
        <v>399384710.35449988</v>
      </c>
      <c r="F15" s="50">
        <f t="shared" si="6"/>
        <v>383927873.07300007</v>
      </c>
      <c r="G15" s="50">
        <f t="shared" si="6"/>
        <v>379685888.16449994</v>
      </c>
      <c r="H15" s="50">
        <f t="shared" si="6"/>
        <v>390573704.81499994</v>
      </c>
      <c r="I15" s="50">
        <f t="shared" si="6"/>
        <v>387556704.73999995</v>
      </c>
      <c r="J15" s="50">
        <f t="shared" si="6"/>
        <v>379880740.1275</v>
      </c>
      <c r="K15" s="50">
        <f t="shared" si="6"/>
        <v>406062937.54000002</v>
      </c>
      <c r="L15" s="50">
        <f t="shared" si="6"/>
        <v>368923891.58999997</v>
      </c>
      <c r="M15" s="50">
        <f t="shared" si="6"/>
        <v>345818945.50300002</v>
      </c>
      <c r="N15" s="50">
        <f t="shared" si="6"/>
        <v>357225917.91949999</v>
      </c>
      <c r="O15" s="50">
        <f t="shared" si="6"/>
        <v>356652611.97500002</v>
      </c>
      <c r="P15" s="50">
        <f t="shared" si="6"/>
        <v>160549512</v>
      </c>
      <c r="Q15" s="50">
        <f t="shared" si="6"/>
        <v>4344540189.9685001</v>
      </c>
      <c r="R15" s="50"/>
      <c r="S15" s="50">
        <f t="shared" ref="S15" si="7">SUM(S16:S38)</f>
        <v>4318939701.9685001</v>
      </c>
      <c r="T15" s="50">
        <f t="shared" ref="T15" si="8">SUM(T16:T38)</f>
        <v>2805000000</v>
      </c>
      <c r="U15" s="50">
        <f t="shared" ref="U15" si="9">SUM(U16:U38)</f>
        <v>1236400000</v>
      </c>
      <c r="V15" s="50">
        <f t="shared" ref="V15" si="10">SUM(V16:V38)</f>
        <v>585851058.86449993</v>
      </c>
      <c r="W15" s="50">
        <f>SUM(W16:W38)</f>
        <v>36611904</v>
      </c>
      <c r="X15" s="50">
        <f>SUM(X16:X38)</f>
        <v>546682356.47550011</v>
      </c>
      <c r="Y15" s="50">
        <f>SUM(Y16:Y38)</f>
        <v>0</v>
      </c>
    </row>
    <row r="16" spans="1:25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'T1'!K16</f>
        <v>19252789.734499998</v>
      </c>
      <c r="E16" s="58">
        <f>'T2'!K16</f>
        <v>20168596.528499998</v>
      </c>
      <c r="F16" s="34">
        <f>'T3'!K16</f>
        <v>20097600.523000002</v>
      </c>
      <c r="G16" s="34">
        <f>'T4'!K16</f>
        <v>20303207.081500001</v>
      </c>
      <c r="H16" s="35">
        <f>'T5'!K16</f>
        <v>18335760.302999999</v>
      </c>
      <c r="I16" s="35">
        <f>'T6'!K16</f>
        <v>17494649.473000001</v>
      </c>
      <c r="J16" s="34">
        <f>'T7'!K16</f>
        <v>16877357.7315</v>
      </c>
      <c r="K16" s="37">
        <f>'T8'!K16</f>
        <v>21135627.722999997</v>
      </c>
      <c r="L16" s="38">
        <f>'T9'!K16</f>
        <v>17255242.899999999</v>
      </c>
      <c r="M16" s="39">
        <f>'T10'!K16</f>
        <v>15640800</v>
      </c>
      <c r="N16" s="38">
        <f>'T11'!K16</f>
        <v>18312021.829500001</v>
      </c>
      <c r="O16" s="38">
        <f>'T12'!K16</f>
        <v>18387883.248</v>
      </c>
      <c r="P16" s="40">
        <f>'T1'!O16+'T2'!O16+'T3'!O16+'T4'!O16+'T5'!O16+'T6'!O16+'T7'!O16+'T8'!O16+'T9'!O16+'T10'!O16+'T11'!O16+'T12'!O16</f>
        <v>7900200</v>
      </c>
      <c r="Q16" s="61">
        <f>SUM(D16:O16)-P16</f>
        <v>215361337.07550001</v>
      </c>
      <c r="R16" s="42"/>
      <c r="S16" s="70">
        <f>'T1'!V16+'T2'!V16+'T3'!V16+'T4'!V16+'T5'!V16+'T6'!V16+'T7'!V16+'T8'!V16+'T9'!V16+'T10'!V16+'T11'!V16+'T12'!V16</f>
        <v>214501537.07550001</v>
      </c>
      <c r="T16" s="71">
        <f>'T1'!W16+'T2'!W16+'T3'!W16+'T4'!W16+'T5'!W16+'T6'!W16+'T7'!W16+'T8'!W16+'T9'!W16+'T10'!W16+'T11'!W16+'T12'!W16</f>
        <v>132000000</v>
      </c>
      <c r="U16" s="71">
        <f>'T1'!X16+'T2'!X16+'T3'!X16+'T4'!X16+'T5'!X16+'T6'!X16+'T7'!X16+'T8'!X16+'T9'!X16+'T10'!X16+'T11'!X16+'T12'!X16</f>
        <v>0</v>
      </c>
      <c r="V16" s="71">
        <f>'T1'!Y16+'T2'!Y16+'T3'!Y16+'T4'!Y16+'T5'!Y16+'T6'!Y16+'T7'!Y16+'T8'!Y16+'T9'!Y16+'T10'!Y16+'T11'!Y16+'T12'!Y16</f>
        <v>74601337.075499997</v>
      </c>
      <c r="W16" s="71">
        <f>'T1'!Z16+'T2'!Z16+'T3'!Z16+'T4'!Z16+'T5'!Z16+'T6'!Z16+'T7'!Z16+'T8'!Z16+'T9'!Z16+'T10'!Z16+'T11'!Z16+'T12'!Z16</f>
        <v>4579717</v>
      </c>
      <c r="X16" s="71">
        <f>MAX(S16-T16-U16-P16,0)</f>
        <v>74601337.075500011</v>
      </c>
      <c r="Y16" s="71">
        <f>'T1'!AB16+'T2'!AB16+'T3'!AB16+'T4'!AB16+'T5'!AB16+'T6'!AB16+'T7'!AB16+'T8'!AB16+'T9'!AB16+'T10'!AB16+'T11'!AB16+'T12'!AB16</f>
        <v>0</v>
      </c>
    </row>
    <row r="17" spans="1:25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>'T1'!K17</f>
        <v>17507191.201000001</v>
      </c>
      <c r="E17" s="58">
        <f>'T2'!K17</f>
        <v>18292168.453000002</v>
      </c>
      <c r="F17" s="34">
        <f>'T3'!K17</f>
        <v>18231314.734000001</v>
      </c>
      <c r="G17" s="34">
        <f>'T4'!K17</f>
        <v>18407548.927000001</v>
      </c>
      <c r="H17" s="35">
        <f>'T5'!K17</f>
        <v>16721165.973999999</v>
      </c>
      <c r="I17" s="35">
        <f>'T6'!K17</f>
        <v>16000213.833999999</v>
      </c>
      <c r="J17" s="34">
        <f>'T7'!K17</f>
        <v>15471106.627</v>
      </c>
      <c r="K17" s="37">
        <f>'T8'!K17</f>
        <v>19121052.333999999</v>
      </c>
      <c r="L17" s="38">
        <f>'T9'!K17</f>
        <v>15795008.199999999</v>
      </c>
      <c r="M17" s="39">
        <f>'T10'!K17</f>
        <v>15115200</v>
      </c>
      <c r="N17" s="38">
        <f>'T11'!K17</f>
        <v>16700818.710999999</v>
      </c>
      <c r="O17" s="38">
        <f>'T12'!K17</f>
        <v>16765842.784</v>
      </c>
      <c r="P17" s="40">
        <f>'T1'!O17+'T2'!O17+'T3'!O17+'T4'!O17+'T5'!O17+'T6'!O17+'T7'!O17+'T8'!O17+'T9'!O17+'T10'!O17+'T11'!O17+'T12'!O17</f>
        <v>7237944</v>
      </c>
      <c r="Q17" s="61">
        <f>SUM(D17:O17)-P17</f>
        <v>196890687.77899998</v>
      </c>
      <c r="R17" s="42"/>
      <c r="S17" s="70">
        <f>'T1'!V17+'T2'!V17+'T3'!V17+'T4'!V17+'T5'!V17+'T6'!V17+'T7'!V17+'T8'!V17+'T9'!V17+'T10'!V17+'T11'!V17+'T12'!V17</f>
        <v>195368631.77899998</v>
      </c>
      <c r="T17" s="71">
        <f>'T1'!W17+'T2'!W17+'T3'!W17+'T4'!W17+'T5'!W17+'T6'!W17+'T7'!W17+'T8'!W17+'T9'!W17+'T10'!W17+'T11'!W17+'T12'!W17</f>
        <v>132000000</v>
      </c>
      <c r="U17" s="71">
        <f>'T1'!X17+'T2'!X17+'T3'!X17+'T4'!X17+'T5'!X17+'T6'!X17+'T7'!X17+'T8'!X17+'T9'!X17+'T10'!X17+'T11'!X17+'T12'!X17</f>
        <v>52800000</v>
      </c>
      <c r="V17" s="71">
        <f>'T1'!Y17+'T2'!Y17+'T3'!Y17+'T4'!Y17+'T5'!Y17+'T6'!Y17+'T7'!Y17+'T8'!Y17+'T9'!Y17+'T10'!Y17+'T11'!Y17+'T12'!Y17</f>
        <v>7926146.4330000039</v>
      </c>
      <c r="W17" s="71">
        <f>'T1'!Z17+'T2'!Z17+'T3'!Z17+'T4'!Z17+'T5'!Z17+'T6'!Z17+'T7'!Z17+'T8'!Z17+'T9'!Z17+'T10'!Z17+'T11'!Z17+'T12'!Z17</f>
        <v>396307</v>
      </c>
      <c r="X17" s="71">
        <f t="shared" ref="X17:X51" si="11">MAX(S17-T17-U17-P17,0)</f>
        <v>3330687.7789999843</v>
      </c>
      <c r="Y17" s="71">
        <f>'T1'!AB17+'T2'!AB17+'T3'!AB17+'T4'!AB17+'T5'!AB17+'T6'!AB17+'T7'!AB17+'T8'!AB17+'T9'!AB17+'T10'!AB17+'T11'!AB17+'T12'!AB17</f>
        <v>0</v>
      </c>
    </row>
    <row r="18" spans="1:25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>'T1'!K18</f>
        <v>17507191.201000001</v>
      </c>
      <c r="E18" s="58">
        <f>'T2'!K18</f>
        <v>18292168.453000002</v>
      </c>
      <c r="F18" s="34">
        <f>'T3'!K18</f>
        <v>18231314.734000001</v>
      </c>
      <c r="G18" s="34">
        <f>'T4'!K18</f>
        <v>18407548.927000001</v>
      </c>
      <c r="H18" s="35">
        <f>'T5'!K18</f>
        <v>16721165.973999999</v>
      </c>
      <c r="I18" s="35">
        <f>'T6'!K18</f>
        <v>16000213.833999999</v>
      </c>
      <c r="J18" s="34">
        <f>'T7'!K18</f>
        <v>15471106.627</v>
      </c>
      <c r="K18" s="37">
        <f>'T8'!K18</f>
        <v>19121052.333999999</v>
      </c>
      <c r="L18" s="38">
        <f>'T9'!K18</f>
        <v>15795008.199999999</v>
      </c>
      <c r="M18" s="39">
        <f>'T10'!K18</f>
        <v>15115200</v>
      </c>
      <c r="N18" s="38">
        <f>'T11'!K18</f>
        <v>16700818.710999999</v>
      </c>
      <c r="O18" s="38">
        <f>'T12'!K18</f>
        <v>16765842.784</v>
      </c>
      <c r="P18" s="40">
        <f>'T1'!O18+'T2'!O18+'T3'!O18+'T4'!O18+'T5'!O18+'T6'!O18+'T7'!O18+'T8'!O18+'T9'!O18+'T10'!O18+'T11'!O18+'T12'!O18</f>
        <v>7237944</v>
      </c>
      <c r="Q18" s="61">
        <f t="shared" ref="Q18:Q38" si="12">SUM(D18:O18)-P18</f>
        <v>196890687.77899998</v>
      </c>
      <c r="R18" s="42"/>
      <c r="S18" s="70">
        <f>'T1'!V18+'T2'!V18+'T3'!V18+'T4'!V18+'T5'!V18+'T6'!V18+'T7'!V18+'T8'!V18+'T9'!V18+'T10'!V18+'T11'!V18+'T12'!V18</f>
        <v>195368631.77899998</v>
      </c>
      <c r="T18" s="71">
        <f>'T1'!W18+'T2'!W18+'T3'!W18+'T4'!W18+'T5'!W18+'T6'!W18+'T7'!W18+'T8'!W18+'T9'!W18+'T10'!W18+'T11'!W18+'T12'!W18</f>
        <v>132000000</v>
      </c>
      <c r="U18" s="71">
        <f>'T1'!X18+'T2'!X18+'T3'!X18+'T4'!X18+'T5'!X18+'T6'!X18+'T7'!X18+'T8'!X18+'T9'!X18+'T10'!X18+'T11'!X18+'T12'!X18</f>
        <v>52800000</v>
      </c>
      <c r="V18" s="71">
        <f>'T1'!Y18+'T2'!Y18+'T3'!Y18+'T4'!Y18+'T5'!Y18+'T6'!Y18+'T7'!Y18+'T8'!Y18+'T9'!Y18+'T10'!Y18+'T11'!Y18+'T12'!Y18</f>
        <v>7926146.4330000039</v>
      </c>
      <c r="W18" s="71">
        <f>'T1'!Z18+'T2'!Z18+'T3'!Z18+'T4'!Z18+'T5'!Z18+'T6'!Z18+'T7'!Z18+'T8'!Z18+'T9'!Z18+'T10'!Z18+'T11'!Z18+'T12'!Z18</f>
        <v>396307</v>
      </c>
      <c r="X18" s="71">
        <f t="shared" si="11"/>
        <v>3330687.7789999843</v>
      </c>
      <c r="Y18" s="71">
        <f>'T1'!AB18+'T2'!AB18+'T3'!AB18+'T4'!AB18+'T5'!AB18+'T6'!AB18+'T7'!AB18+'T8'!AB18+'T9'!AB18+'T10'!AB18+'T11'!AB18+'T12'!AB18</f>
        <v>0</v>
      </c>
    </row>
    <row r="19" spans="1:25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'T1'!K19</f>
        <v>16238394.134</v>
      </c>
      <c r="E19" s="58">
        <f>'T2'!K19</f>
        <v>16761712.302000001</v>
      </c>
      <c r="F19" s="34">
        <f>'T3'!K19</f>
        <v>16721143.155999999</v>
      </c>
      <c r="G19" s="34">
        <f>'T4'!K19</f>
        <v>16838632.618000001</v>
      </c>
      <c r="H19" s="35">
        <f>'T5'!K19</f>
        <v>15714377.316</v>
      </c>
      <c r="I19" s="35">
        <f>'T6'!K19</f>
        <v>15233742.556</v>
      </c>
      <c r="J19" s="34">
        <f>'T7'!K19</f>
        <v>14881004.418</v>
      </c>
      <c r="K19" s="37">
        <f>'T8'!K19</f>
        <v>17314301.556000002</v>
      </c>
      <c r="L19" s="38">
        <f>'T9'!K19</f>
        <v>15096938.800000001</v>
      </c>
      <c r="M19" s="39">
        <f>'T10'!K19</f>
        <v>14174400</v>
      </c>
      <c r="N19" s="38">
        <f>'T11'!K19</f>
        <v>15700812.473999999</v>
      </c>
      <c r="O19" s="38">
        <f>'T12'!K19</f>
        <v>15744161.855999999</v>
      </c>
      <c r="P19" s="40">
        <f>'T1'!O19+'T2'!O19+'T3'!O19+'T4'!O19+'T5'!O19+'T6'!O19+'T7'!O19+'T8'!O19+'T9'!O19+'T10'!O19+'T11'!O19+'T12'!O19</f>
        <v>6987204</v>
      </c>
      <c r="Q19" s="61">
        <f t="shared" si="12"/>
        <v>183432417.18600002</v>
      </c>
      <c r="R19" s="42"/>
      <c r="S19" s="70">
        <f>'T1'!V19+'T2'!V19+'T3'!V19+'T4'!V19+'T5'!V19+'T6'!V19+'T7'!V19+'T8'!V19+'T9'!V19+'T10'!V19+'T11'!V19+'T12'!V19</f>
        <v>181659621.18600002</v>
      </c>
      <c r="T19" s="71">
        <f>'T1'!W19+'T2'!W19+'T3'!W19+'T4'!W19+'T5'!W19+'T6'!W19+'T7'!W19+'T8'!W19+'T9'!W19+'T10'!W19+'T11'!W19+'T12'!W19</f>
        <v>132000000</v>
      </c>
      <c r="U19" s="71">
        <f>'T1'!X19+'T2'!X19+'T3'!X19+'T4'!X19+'T5'!X19+'T6'!X19+'T7'!X19+'T8'!X19+'T9'!X19+'T10'!X19+'T11'!X19+'T12'!X19</f>
        <v>0</v>
      </c>
      <c r="V19" s="71">
        <f>'T1'!Y19+'T2'!Y19+'T3'!Y19+'T4'!Y19+'T5'!Y19+'T6'!Y19+'T7'!Y19+'T8'!Y19+'T9'!Y19+'T10'!Y19+'T11'!Y19+'T12'!Y19</f>
        <v>42672417.186000004</v>
      </c>
      <c r="W19" s="71">
        <f>'T1'!Z19+'T2'!Z19+'T3'!Z19+'T4'!Z19+'T5'!Z19+'T6'!Z19+'T7'!Z19+'T8'!Z19+'T9'!Z19+'T10'!Z19+'T11'!Z19+'T12'!Z19</f>
        <v>2133723</v>
      </c>
      <c r="X19" s="71">
        <f t="shared" si="11"/>
        <v>42672417.186000019</v>
      </c>
      <c r="Y19" s="71">
        <f>'T1'!AB19+'T2'!AB19+'T3'!AB19+'T4'!AB19+'T5'!AB19+'T6'!AB19+'T7'!AB19+'T8'!AB19+'T9'!AB19+'T10'!AB19+'T11'!AB19+'T12'!AB19</f>
        <v>0</v>
      </c>
    </row>
    <row r="20" spans="1:25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'T1'!K20</f>
        <v>16304381.692</v>
      </c>
      <c r="E20" s="58">
        <f>'T2'!K20</f>
        <v>22408196.375</v>
      </c>
      <c r="F20" s="34">
        <f>'T3'!K20</f>
        <v>20344523.822499998</v>
      </c>
      <c r="G20" s="34">
        <f>'T4'!K20</f>
        <v>18257259.172499999</v>
      </c>
      <c r="H20" s="35">
        <f>'T5'!K20</f>
        <v>18328115.565000001</v>
      </c>
      <c r="I20" s="35">
        <f>'T6'!K20</f>
        <v>18841529.852499999</v>
      </c>
      <c r="J20" s="34">
        <f>'T7'!K20</f>
        <v>18568112.232500002</v>
      </c>
      <c r="K20" s="37">
        <f>'T8'!K20</f>
        <v>19478331.422499999</v>
      </c>
      <c r="L20" s="38">
        <f>'T9'!K20</f>
        <v>19040928.274999999</v>
      </c>
      <c r="M20" s="39">
        <f>'T10'!K20</f>
        <v>16165634.984999999</v>
      </c>
      <c r="N20" s="38">
        <f>'T11'!K20</f>
        <v>18263685.2225</v>
      </c>
      <c r="O20" s="38">
        <f>'T12'!K20</f>
        <v>18101266.272500001</v>
      </c>
      <c r="P20" s="40">
        <f>'T1'!O20+'T2'!O20+'T3'!O20+'T4'!O20+'T5'!O20+'T6'!O20+'T7'!O20+'T8'!O20+'T9'!O20+'T10'!O20+'T11'!O20+'T12'!O20</f>
        <v>7900200</v>
      </c>
      <c r="Q20" s="61">
        <f t="shared" si="12"/>
        <v>216201764.88950002</v>
      </c>
      <c r="R20" s="42"/>
      <c r="S20" s="70">
        <f>'T1'!V20+'T2'!V20+'T3'!V20+'T4'!V20+'T5'!V20+'T6'!V20+'T7'!V20+'T8'!V20+'T9'!V20+'T10'!V20+'T11'!V20+'T12'!V20</f>
        <v>215341964.88950002</v>
      </c>
      <c r="T20" s="71">
        <f>'T1'!W20+'T2'!W20+'T3'!W20+'T4'!W20+'T5'!W20+'T6'!W20+'T7'!W20+'T8'!W20+'T9'!W20+'T10'!W20+'T11'!W20+'T12'!W20</f>
        <v>132000000</v>
      </c>
      <c r="U20" s="71">
        <f>'T1'!X20+'T2'!X20+'T3'!X20+'T4'!X20+'T5'!X20+'T6'!X20+'T7'!X20+'T8'!X20+'T9'!X20+'T10'!X20+'T11'!X20+'T12'!X20</f>
        <v>105600000</v>
      </c>
      <c r="V20" s="71">
        <f>'T1'!Y20+'T2'!Y20+'T3'!Y20+'T4'!Y20+'T5'!Y20+'T6'!Y20+'T7'!Y20+'T8'!Y20+'T9'!Y20+'T10'!Y20+'T11'!Y20+'T12'!Y20</f>
        <v>1219846.375</v>
      </c>
      <c r="W20" s="71">
        <f>'T1'!Z20+'T2'!Z20+'T3'!Z20+'T4'!Z20+'T5'!Z20+'T6'!Z20+'T7'!Z20+'T8'!Z20+'T9'!Z20+'T10'!Z20+'T11'!Z20+'T12'!Z20</f>
        <v>60992</v>
      </c>
      <c r="X20" s="71">
        <f t="shared" si="11"/>
        <v>0</v>
      </c>
      <c r="Y20" s="71">
        <f>'T1'!AB20+'T2'!AB20+'T3'!AB20+'T4'!AB20+'T5'!AB20+'T6'!AB20+'T7'!AB20+'T8'!AB20+'T9'!AB20+'T10'!AB20+'T11'!AB20+'T12'!AB20</f>
        <v>0</v>
      </c>
    </row>
    <row r="21" spans="1:25" s="44" customFormat="1" ht="21.75" customHeight="1" x14ac:dyDescent="0.2">
      <c r="A21" s="29">
        <v>8</v>
      </c>
      <c r="B21" s="30" t="s">
        <v>51</v>
      </c>
      <c r="C21" s="45" t="s">
        <v>30</v>
      </c>
      <c r="D21" s="32">
        <f>'T1'!K21</f>
        <v>16438994.134</v>
      </c>
      <c r="E21" s="58">
        <f>'T2'!K21</f>
        <v>16962312.302000001</v>
      </c>
      <c r="F21" s="34">
        <f>'T3'!K21</f>
        <v>16921743.155999999</v>
      </c>
      <c r="G21" s="34">
        <f>'T4'!K21</f>
        <v>17039232.618000001</v>
      </c>
      <c r="H21" s="35">
        <f>'T5'!K21</f>
        <v>15914977.316</v>
      </c>
      <c r="I21" s="35">
        <f>'T6'!K21</f>
        <v>15434342.556</v>
      </c>
      <c r="J21" s="34">
        <f>'T7'!K21</f>
        <v>15081604.418</v>
      </c>
      <c r="K21" s="37">
        <f>'T8'!K21</f>
        <v>17514901.556000002</v>
      </c>
      <c r="L21" s="38">
        <f>'T9'!K21</f>
        <v>15297538.800000001</v>
      </c>
      <c r="M21" s="39">
        <f>'T10'!K21</f>
        <v>14375000</v>
      </c>
      <c r="N21" s="38">
        <f>'T11'!K21</f>
        <v>15901412.473999999</v>
      </c>
      <c r="O21" s="38">
        <f>'T12'!K21</f>
        <v>15944761.855999999</v>
      </c>
      <c r="P21" s="40">
        <f>'T1'!O21+'T2'!O21+'T3'!O21+'T4'!O21+'T5'!O21+'T6'!O21+'T7'!O21+'T8'!O21+'T9'!O21+'T10'!O21+'T11'!O21+'T12'!O21</f>
        <v>6205680</v>
      </c>
      <c r="Q21" s="61">
        <f t="shared" si="12"/>
        <v>186621141.18600002</v>
      </c>
      <c r="R21" s="42"/>
      <c r="S21" s="70">
        <f>'T1'!V21+'T2'!V21+'T3'!V21+'T4'!V21+'T5'!V21+'T6'!V21+'T7'!V21+'T8'!V21+'T9'!V21+'T10'!V21+'T11'!V21+'T12'!V21</f>
        <v>184066821.18600002</v>
      </c>
      <c r="T21" s="71">
        <f>'T1'!W21+'T2'!W21+'T3'!W21+'T4'!W21+'T5'!W21+'T6'!W21+'T7'!W21+'T8'!W21+'T9'!W21+'T10'!W21+'T11'!W21+'T12'!W21</f>
        <v>132000000</v>
      </c>
      <c r="U21" s="71">
        <f>'T1'!X21+'T2'!X21+'T3'!X21+'T4'!X21+'T5'!X21+'T6'!X21+'T7'!X21+'T8'!X21+'T9'!X21+'T10'!X21+'T11'!X21+'T12'!X21</f>
        <v>52800000</v>
      </c>
      <c r="V21" s="71">
        <f>'T1'!Y21+'T2'!Y21+'T3'!Y21+'T4'!Y21+'T5'!Y21+'T6'!Y21+'T7'!Y21+'T8'!Y21+'T9'!Y21+'T10'!Y21+'T11'!Y21+'T12'!Y21</f>
        <v>2539149.632000003</v>
      </c>
      <c r="W21" s="71">
        <f>'T1'!Z21+'T2'!Z21+'T3'!Z21+'T4'!Z21+'T5'!Z21+'T6'!Z21+'T7'!Z21+'T8'!Z21+'T9'!Z21+'T10'!Z21+'T11'!Z21+'T12'!Z21</f>
        <v>126958</v>
      </c>
      <c r="X21" s="71">
        <f t="shared" si="11"/>
        <v>0</v>
      </c>
      <c r="Y21" s="71">
        <f>'T1'!AB21+'T2'!AB21+'T3'!AB21+'T4'!AB21+'T5'!AB21+'T6'!AB21+'T7'!AB21+'T8'!AB21+'T9'!AB21+'T10'!AB21+'T11'!AB21+'T12'!AB21</f>
        <v>0</v>
      </c>
    </row>
    <row r="22" spans="1:25" s="44" customFormat="1" ht="21.75" customHeight="1" x14ac:dyDescent="0.2">
      <c r="A22" s="29">
        <v>9</v>
      </c>
      <c r="B22" s="30" t="s">
        <v>49</v>
      </c>
      <c r="C22" s="45" t="s">
        <v>30</v>
      </c>
      <c r="D22" s="32">
        <f>'T1'!K22</f>
        <v>16438994.134</v>
      </c>
      <c r="E22" s="58">
        <f>'T2'!K22</f>
        <v>16962312.302000001</v>
      </c>
      <c r="F22" s="34">
        <f>'T3'!K22</f>
        <v>16921743.155999999</v>
      </c>
      <c r="G22" s="34">
        <f>'T4'!K22</f>
        <v>17039232.618000001</v>
      </c>
      <c r="H22" s="35">
        <f>'T5'!K22</f>
        <v>15914977.316</v>
      </c>
      <c r="I22" s="35">
        <f>'T6'!K22</f>
        <v>15434342.556</v>
      </c>
      <c r="J22" s="34">
        <f>'T7'!K22</f>
        <v>15081604.418</v>
      </c>
      <c r="K22" s="37">
        <f>'T8'!K22</f>
        <v>17514901.556000002</v>
      </c>
      <c r="L22" s="38">
        <f>'T9'!K22</f>
        <v>15297538.800000001</v>
      </c>
      <c r="M22" s="39">
        <f>'T10'!K22</f>
        <v>14375000</v>
      </c>
      <c r="N22" s="38">
        <f>'T11'!K22</f>
        <v>15901412.473999999</v>
      </c>
      <c r="O22" s="38">
        <f>'T12'!K22</f>
        <v>15944761.855999999</v>
      </c>
      <c r="P22" s="40">
        <f>'T1'!O22+'T2'!O22+'T3'!O22+'T4'!O22+'T5'!O22+'T6'!O22+'T7'!O22+'T8'!O22+'T9'!O22+'T10'!O22+'T11'!O22+'T12'!O22</f>
        <v>7239960</v>
      </c>
      <c r="Q22" s="61">
        <f t="shared" si="12"/>
        <v>185586861.18600002</v>
      </c>
      <c r="R22" s="42"/>
      <c r="S22" s="70">
        <f>'T1'!V22+'T2'!V22+'T3'!V22+'T4'!V22+'T5'!V22+'T6'!V22+'T7'!V22+'T8'!V22+'T9'!V22+'T10'!V22+'T11'!V22+'T12'!V22</f>
        <v>184066821.18600002</v>
      </c>
      <c r="T22" s="71">
        <f>'T1'!W22+'T2'!W22+'T3'!W22+'T4'!W22+'T5'!W22+'T6'!W22+'T7'!W22+'T8'!W22+'T9'!W22+'T10'!W22+'T11'!W22+'T12'!W22</f>
        <v>132000000</v>
      </c>
      <c r="U22" s="71">
        <f>'T1'!X22+'T2'!X22+'T3'!X22+'T4'!X22+'T5'!X22+'T6'!X22+'T7'!X22+'T8'!X22+'T9'!X22+'T10'!X22+'T11'!X22+'T12'!X22</f>
        <v>0</v>
      </c>
      <c r="V22" s="71">
        <f>'T1'!Y22+'T2'!Y22+'T3'!Y22+'T4'!Y22+'T5'!Y22+'T6'!Y22+'T7'!Y22+'T8'!Y22+'T9'!Y22+'T10'!Y22+'T11'!Y22+'T12'!Y22</f>
        <v>44826861.186000004</v>
      </c>
      <c r="W22" s="71">
        <f>'T1'!Z22+'T2'!Z22+'T3'!Z22+'T4'!Z22+'T5'!Z22+'T6'!Z22+'T7'!Z22+'T8'!Z22+'T9'!Z22+'T10'!Z22+'T11'!Z22+'T12'!Z22</f>
        <v>2250422</v>
      </c>
      <c r="X22" s="71">
        <f t="shared" si="11"/>
        <v>44826861.186000019</v>
      </c>
      <c r="Y22" s="71">
        <f>'T1'!AB22+'T2'!AB22+'T3'!AB22+'T4'!AB22+'T5'!AB22+'T6'!AB22+'T7'!AB22+'T8'!AB22+'T9'!AB22+'T10'!AB22+'T11'!AB22+'T12'!AB22</f>
        <v>0</v>
      </c>
    </row>
    <row r="23" spans="1:25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>'T1'!K23</f>
        <v>16438994.134</v>
      </c>
      <c r="E23" s="58">
        <f>'T2'!K23</f>
        <v>16962312.302000001</v>
      </c>
      <c r="F23" s="34">
        <f>'T3'!K23</f>
        <v>16921743.155999999</v>
      </c>
      <c r="G23" s="34">
        <f>'T4'!K23</f>
        <v>17039232.618000001</v>
      </c>
      <c r="H23" s="35">
        <f>'T5'!K23</f>
        <v>15914977.316</v>
      </c>
      <c r="I23" s="35">
        <f>'T6'!K23</f>
        <v>15434342.556</v>
      </c>
      <c r="J23" s="34">
        <f>'T7'!K23</f>
        <v>15081604.418</v>
      </c>
      <c r="K23" s="37">
        <f>'T8'!K23</f>
        <v>17514901.556000002</v>
      </c>
      <c r="L23" s="38">
        <f>'T9'!K23</f>
        <v>15297538.800000001</v>
      </c>
      <c r="M23" s="39">
        <f>'T10'!K23</f>
        <v>14375000</v>
      </c>
      <c r="N23" s="38">
        <f>'T11'!K23</f>
        <v>15901412.473999999</v>
      </c>
      <c r="O23" s="38">
        <f>'T12'!K23</f>
        <v>15944761.855999999</v>
      </c>
      <c r="P23" s="40">
        <f>'T1'!O23+'T2'!O23+'T3'!O23+'T4'!O23+'T5'!O23+'T6'!O23+'T7'!O23+'T8'!O23+'T9'!O23+'T10'!O23+'T11'!O23+'T12'!O23</f>
        <v>7239960</v>
      </c>
      <c r="Q23" s="61">
        <f t="shared" si="12"/>
        <v>185586861.18600002</v>
      </c>
      <c r="R23" s="42"/>
      <c r="S23" s="70">
        <f>'T1'!V23+'T2'!V23+'T3'!V23+'T4'!V23+'T5'!V23+'T6'!V23+'T7'!V23+'T8'!V23+'T9'!V23+'T10'!V23+'T11'!V23+'T12'!V23</f>
        <v>184066821.18600002</v>
      </c>
      <c r="T23" s="71">
        <f>'T1'!W23+'T2'!W23+'T3'!W23+'T4'!W23+'T5'!W23+'T6'!W23+'T7'!W23+'T8'!W23+'T9'!W23+'T10'!W23+'T11'!W23+'T12'!W23</f>
        <v>132000000</v>
      </c>
      <c r="U23" s="71">
        <f>'T1'!X23+'T2'!X23+'T3'!X23+'T4'!X23+'T5'!X23+'T6'!X23+'T7'!X23+'T8'!X23+'T9'!X23+'T10'!X23+'T11'!X23+'T12'!X23</f>
        <v>0</v>
      </c>
      <c r="V23" s="71">
        <f>'T1'!Y23+'T2'!Y23+'T3'!Y23+'T4'!Y23+'T5'!Y23+'T6'!Y23+'T7'!Y23+'T8'!Y23+'T9'!Y23+'T10'!Y23+'T11'!Y23+'T12'!Y23</f>
        <v>44826861.186000004</v>
      </c>
      <c r="W23" s="71">
        <f>'T1'!Z23+'T2'!Z23+'T3'!Z23+'T4'!Z23+'T5'!Z23+'T6'!Z23+'T7'!Z23+'T8'!Z23+'T9'!Z23+'T10'!Z23+'T11'!Z23+'T12'!Z23</f>
        <v>2250422</v>
      </c>
      <c r="X23" s="71">
        <f t="shared" si="11"/>
        <v>44826861.186000019</v>
      </c>
      <c r="Y23" s="71">
        <f>'T1'!AB23+'T2'!AB23+'T3'!AB23+'T4'!AB23+'T5'!AB23+'T6'!AB23+'T7'!AB23+'T8'!AB23+'T9'!AB23+'T10'!AB23+'T11'!AB23+'T12'!AB23</f>
        <v>0</v>
      </c>
    </row>
    <row r="24" spans="1:25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>'T1'!K24</f>
        <v>18039191.201000001</v>
      </c>
      <c r="E24" s="58">
        <f>'T2'!K24</f>
        <v>18824168.453000002</v>
      </c>
      <c r="F24" s="34">
        <f>'T3'!K24</f>
        <v>18763314.734000001</v>
      </c>
      <c r="G24" s="34">
        <f>'T4'!K24</f>
        <v>18939548.927000001</v>
      </c>
      <c r="H24" s="35">
        <f>'T5'!K24</f>
        <v>17253165.973999999</v>
      </c>
      <c r="I24" s="35">
        <f>'T6'!K24</f>
        <v>16532213.833999999</v>
      </c>
      <c r="J24" s="34">
        <f>'T7'!K24</f>
        <v>16003106.627</v>
      </c>
      <c r="K24" s="37">
        <f>'T8'!K24</f>
        <v>19653052.333999999</v>
      </c>
      <c r="L24" s="38">
        <f>'T9'!K24</f>
        <v>16327008.199999999</v>
      </c>
      <c r="M24" s="39">
        <f>'T10'!K24</f>
        <v>15647200</v>
      </c>
      <c r="N24" s="38">
        <f>'T11'!K24</f>
        <v>17232818.710999999</v>
      </c>
      <c r="O24" s="38">
        <f>'T12'!K24</f>
        <v>17297842.784000002</v>
      </c>
      <c r="P24" s="40">
        <f>'T1'!O24+'T2'!O24+'T3'!O24+'T4'!O24+'T5'!O24+'T6'!O24+'T7'!O24+'T8'!O24+'T9'!O24+'T10'!O24+'T11'!O24+'T12'!O24</f>
        <v>7908264</v>
      </c>
      <c r="Q24" s="61">
        <f t="shared" si="12"/>
        <v>202604367.77899998</v>
      </c>
      <c r="R24" s="42"/>
      <c r="S24" s="70">
        <f>'T1'!V24+'T2'!V24+'T3'!V24+'T4'!V24+'T5'!V24+'T6'!V24+'T7'!V24+'T8'!V24+'T9'!V24+'T10'!V24+'T11'!V24+'T12'!V24</f>
        <v>201752631.77899998</v>
      </c>
      <c r="T24" s="71">
        <f>'T1'!W24+'T2'!W24+'T3'!W24+'T4'!W24+'T5'!W24+'T6'!W24+'T7'!W24+'T8'!W24+'T9'!W24+'T10'!W24+'T11'!W24+'T12'!W24</f>
        <v>132000000</v>
      </c>
      <c r="U24" s="71">
        <f>'T1'!X24+'T2'!X24+'T3'!X24+'T4'!X24+'T5'!X24+'T6'!X24+'T7'!X24+'T8'!X24+'T9'!X24+'T10'!X24+'T11'!X24+'T12'!X24</f>
        <v>105600000</v>
      </c>
      <c r="V24" s="71">
        <f>'T1'!Y24+'T2'!Y24+'T3'!Y24+'T4'!Y24+'T5'!Y24+'T6'!Y24+'T7'!Y24+'T8'!Y24+'T9'!Y24+'T10'!Y24+'T11'!Y24+'T12'!Y24</f>
        <v>0</v>
      </c>
      <c r="W24" s="71">
        <f>'T1'!Z24+'T2'!Z24+'T3'!Z24+'T4'!Z24+'T5'!Z24+'T6'!Z24+'T7'!Z24+'T8'!Z24+'T9'!Z24+'T10'!Z24+'T11'!Z24+'T12'!Z24</f>
        <v>0</v>
      </c>
      <c r="X24" s="71">
        <f t="shared" si="11"/>
        <v>0</v>
      </c>
      <c r="Y24" s="71">
        <f>'T1'!AB24+'T2'!AB24+'T3'!AB24+'T4'!AB24+'T5'!AB24+'T6'!AB24+'T7'!AB24+'T8'!AB24+'T9'!AB24+'T10'!AB24+'T11'!AB24+'T12'!AB24</f>
        <v>0</v>
      </c>
    </row>
    <row r="25" spans="1:25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>'T1'!K25</f>
        <v>15286721.128</v>
      </c>
      <c r="E25" s="58">
        <f>'T2'!K25</f>
        <v>18576237.824999999</v>
      </c>
      <c r="F25" s="34">
        <f>'T3'!K25</f>
        <v>17338034.293499999</v>
      </c>
      <c r="G25" s="34">
        <f>'T4'!K25</f>
        <v>17594567.338</v>
      </c>
      <c r="H25" s="35">
        <f>'T5'!K25</f>
        <v>17651252.452</v>
      </c>
      <c r="I25" s="35">
        <f>'T6'!K25</f>
        <v>18061983.881999999</v>
      </c>
      <c r="J25" s="34">
        <f>'T7'!K25</f>
        <v>17843249.785999998</v>
      </c>
      <c r="K25" s="37">
        <f>'T8'!K25</f>
        <v>18571425.138</v>
      </c>
      <c r="L25" s="38">
        <f>'T9'!K25</f>
        <v>18221502.620000001</v>
      </c>
      <c r="M25" s="39">
        <f>'T10'!K25</f>
        <v>15921267.988</v>
      </c>
      <c r="N25" s="38">
        <f>'T11'!K25</f>
        <v>17599708.177999999</v>
      </c>
      <c r="O25" s="38">
        <f>'T12'!K25</f>
        <v>17469773.017999999</v>
      </c>
      <c r="P25" s="40">
        <f>'T1'!O25+'T2'!O25+'T3'!O25+'T4'!O25+'T5'!O25+'T6'!O25+'T7'!O25+'T8'!O25+'T9'!O25+'T10'!O25+'T11'!O25+'T12'!O25</f>
        <v>7239960</v>
      </c>
      <c r="Q25" s="61">
        <f t="shared" si="12"/>
        <v>202895763.64650002</v>
      </c>
      <c r="R25" s="42"/>
      <c r="S25" s="70">
        <f>'T1'!V25+'T2'!V25+'T3'!V25+'T4'!V25+'T5'!V25+'T6'!V25+'T7'!V25+'T8'!V25+'T9'!V25+'T10'!V25+'T11'!V25+'T12'!V25</f>
        <v>201375723.64650002</v>
      </c>
      <c r="T25" s="71">
        <f>'T1'!W25+'T2'!W25+'T3'!W25+'T4'!W25+'T5'!W25+'T6'!W25+'T7'!W25+'T8'!W25+'T9'!W25+'T10'!W25+'T11'!W25+'T12'!W25</f>
        <v>132000000</v>
      </c>
      <c r="U25" s="71">
        <f>'T1'!X25+'T2'!X25+'T3'!X25+'T4'!X25+'T5'!X25+'T6'!X25+'T7'!X25+'T8'!X25+'T9'!X25+'T10'!X25+'T11'!X25+'T12'!X25</f>
        <v>0</v>
      </c>
      <c r="V25" s="71">
        <f>'T1'!Y25+'T2'!Y25+'T3'!Y25+'T4'!Y25+'T5'!Y25+'T6'!Y25+'T7'!Y25+'T8'!Y25+'T9'!Y25+'T10'!Y25+'T11'!Y25+'T12'!Y25</f>
        <v>62135763.646499999</v>
      </c>
      <c r="W25" s="71">
        <f>'T1'!Z25+'T2'!Z25+'T3'!Z25+'T4'!Z25+'T5'!Z25+'T6'!Z25+'T7'!Z25+'T8'!Z25+'T9'!Z25+'T10'!Z25+'T11'!Z25+'T12'!Z25</f>
        <v>3386510</v>
      </c>
      <c r="X25" s="71">
        <f t="shared" si="11"/>
        <v>62135763.646500021</v>
      </c>
      <c r="Y25" s="71">
        <f>'T1'!AB25+'T2'!AB25+'T3'!AB25+'T4'!AB25+'T5'!AB25+'T6'!AB25+'T7'!AB25+'T8'!AB25+'T9'!AB25+'T10'!AB25+'T11'!AB25+'T12'!AB25</f>
        <v>0</v>
      </c>
    </row>
    <row r="26" spans="1:25" s="26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>'T1'!K26</f>
        <v>16438994.134</v>
      </c>
      <c r="E26" s="58">
        <f>'T2'!K26</f>
        <v>16962312.302000001</v>
      </c>
      <c r="F26" s="34">
        <f>'T3'!K26</f>
        <v>16921743.155999999</v>
      </c>
      <c r="G26" s="34">
        <f>'T4'!K26</f>
        <v>17039232.618000001</v>
      </c>
      <c r="H26" s="35">
        <f>'T5'!K26</f>
        <v>15914977.316</v>
      </c>
      <c r="I26" s="35">
        <f>'T6'!K26</f>
        <v>15434342.556</v>
      </c>
      <c r="J26" s="34">
        <f>'T7'!K26</f>
        <v>15081604.418</v>
      </c>
      <c r="K26" s="37">
        <f>'T8'!K26</f>
        <v>17514901.556000002</v>
      </c>
      <c r="L26" s="38">
        <f>'T9'!K26</f>
        <v>15297538.800000001</v>
      </c>
      <c r="M26" s="39">
        <f>'T10'!K26</f>
        <v>14375000</v>
      </c>
      <c r="N26" s="38">
        <f>'T11'!K26</f>
        <v>15901412.473999999</v>
      </c>
      <c r="O26" s="38">
        <f>'T12'!K26</f>
        <v>15944761.855999999</v>
      </c>
      <c r="P26" s="40">
        <f>'T1'!O26+'T2'!O26+'T3'!O26+'T4'!O26+'T5'!O26+'T6'!O26+'T7'!O26+'T8'!O26+'T9'!O26+'T10'!O26+'T11'!O26+'T12'!O26</f>
        <v>7239960</v>
      </c>
      <c r="Q26" s="61">
        <f t="shared" si="12"/>
        <v>185586861.18600002</v>
      </c>
      <c r="R26" s="42"/>
      <c r="S26" s="70">
        <f>'T1'!V26+'T2'!V26+'T3'!V26+'T4'!V26+'T5'!V26+'T6'!V26+'T7'!V26+'T8'!V26+'T9'!V26+'T10'!V26+'T11'!V26+'T12'!V26</f>
        <v>184066821.18600002</v>
      </c>
      <c r="T26" s="71">
        <f>'T1'!W26+'T2'!W26+'T3'!W26+'T4'!W26+'T5'!W26+'T6'!W26+'T7'!W26+'T8'!W26+'T9'!W26+'T10'!W26+'T11'!W26+'T12'!W26</f>
        <v>132000000</v>
      </c>
      <c r="U26" s="71">
        <f>'T1'!X26+'T2'!X26+'T3'!X26+'T4'!X26+'T5'!X26+'T6'!X26+'T7'!X26+'T8'!X26+'T9'!X26+'T10'!X26+'T11'!X26+'T12'!X26</f>
        <v>0</v>
      </c>
      <c r="V26" s="71">
        <f>'T1'!Y26+'T2'!Y26+'T3'!Y26+'T4'!Y26+'T5'!Y26+'T6'!Y26+'T7'!Y26+'T8'!Y26+'T9'!Y26+'T10'!Y26+'T11'!Y26+'T12'!Y26</f>
        <v>44826861.186000004</v>
      </c>
      <c r="W26" s="71">
        <f>'T1'!Z26+'T2'!Z26+'T3'!Z26+'T4'!Z26+'T5'!Z26+'T6'!Z26+'T7'!Z26+'T8'!Z26+'T9'!Z26+'T10'!Z26+'T11'!Z26+'T12'!Z26</f>
        <v>2250422</v>
      </c>
      <c r="X26" s="71">
        <f t="shared" si="11"/>
        <v>44826861.186000019</v>
      </c>
      <c r="Y26" s="71">
        <f>'T1'!AB26+'T2'!AB26+'T3'!AB26+'T4'!AB26+'T5'!AB26+'T6'!AB26+'T7'!AB26+'T8'!AB26+'T9'!AB26+'T10'!AB26+'T11'!AB26+'T12'!AB26</f>
        <v>0</v>
      </c>
    </row>
    <row r="27" spans="1:25" s="26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>'T1'!K27</f>
        <v>15286721.128</v>
      </c>
      <c r="E27" s="58">
        <f>'T2'!K27</f>
        <v>18576237.824999999</v>
      </c>
      <c r="F27" s="34">
        <f>'T3'!K27</f>
        <v>17338034.293499999</v>
      </c>
      <c r="G27" s="34">
        <f>'T4'!K27</f>
        <v>17594567.338</v>
      </c>
      <c r="H27" s="35">
        <f>'T5'!K27</f>
        <v>17651252.452</v>
      </c>
      <c r="I27" s="35">
        <f>'T6'!K27</f>
        <v>18061983.881999999</v>
      </c>
      <c r="J27" s="34">
        <f>'T7'!K27</f>
        <v>17843249.785999998</v>
      </c>
      <c r="K27" s="37">
        <f>'T8'!K27</f>
        <v>18571425.138</v>
      </c>
      <c r="L27" s="38">
        <f>'T9'!K27</f>
        <v>18221502.620000001</v>
      </c>
      <c r="M27" s="39">
        <f>'T10'!K27</f>
        <v>15921267.988</v>
      </c>
      <c r="N27" s="38">
        <f>'T11'!K27</f>
        <v>17599708.177999999</v>
      </c>
      <c r="O27" s="38">
        <f>'T12'!K27</f>
        <v>17469773.017999999</v>
      </c>
      <c r="P27" s="40">
        <f>'T1'!O27+'T2'!O27+'T3'!O27+'T4'!O27+'T5'!O27+'T6'!O27+'T7'!O27+'T8'!O27+'T9'!O27+'T10'!O27+'T11'!O27+'T12'!O27</f>
        <v>7239960</v>
      </c>
      <c r="Q27" s="61">
        <f t="shared" si="12"/>
        <v>202895763.64650002</v>
      </c>
      <c r="R27" s="42"/>
      <c r="S27" s="70">
        <f>'T1'!V27+'T2'!V27+'T3'!V27+'T4'!V27+'T5'!V27+'T6'!V27+'T7'!V27+'T8'!V27+'T9'!V27+'T10'!V27+'T11'!V27+'T12'!V27</f>
        <v>201375723.64650002</v>
      </c>
      <c r="T27" s="71">
        <f>'T1'!W27+'T2'!W27+'T3'!W27+'T4'!W27+'T5'!W27+'T6'!W27+'T7'!W27+'T8'!W27+'T9'!W27+'T10'!W27+'T11'!W27+'T12'!W27</f>
        <v>132000000</v>
      </c>
      <c r="U27" s="71">
        <f>'T1'!X27+'T2'!X27+'T3'!X27+'T4'!X27+'T5'!X27+'T6'!X27+'T7'!X27+'T8'!X27+'T9'!X27+'T10'!X27+'T11'!X27+'T12'!X27</f>
        <v>105600000</v>
      </c>
      <c r="V27" s="71">
        <f>'T1'!Y27+'T2'!Y27+'T3'!Y27+'T4'!Y27+'T5'!Y27+'T6'!Y27+'T7'!Y27+'T8'!Y27+'T9'!Y27+'T10'!Y27+'T11'!Y27+'T12'!Y27</f>
        <v>0</v>
      </c>
      <c r="W27" s="71">
        <f>'T1'!Z27+'T2'!Z27+'T3'!Z27+'T4'!Z27+'T5'!Z27+'T6'!Z27+'T7'!Z27+'T8'!Z27+'T9'!Z27+'T10'!Z27+'T11'!Z27+'T12'!Z27</f>
        <v>0</v>
      </c>
      <c r="X27" s="71">
        <f t="shared" si="11"/>
        <v>0</v>
      </c>
      <c r="Y27" s="71">
        <f>'T1'!AB27+'T2'!AB27+'T3'!AB27+'T4'!AB27+'T5'!AB27+'T6'!AB27+'T7'!AB27+'T8'!AB27+'T9'!AB27+'T10'!AB27+'T11'!AB27+'T12'!AB27</f>
        <v>0</v>
      </c>
    </row>
    <row r="28" spans="1:25" s="26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>'T1'!K28</f>
        <v>15286721.128</v>
      </c>
      <c r="E28" s="58">
        <f>'T2'!K28</f>
        <v>18576237.824999999</v>
      </c>
      <c r="F28" s="34">
        <f>'T3'!K28</f>
        <v>17338034.293499999</v>
      </c>
      <c r="G28" s="34">
        <f>'T4'!K28</f>
        <v>17594567.338</v>
      </c>
      <c r="H28" s="35">
        <f>'T5'!K28</f>
        <v>17651252.452</v>
      </c>
      <c r="I28" s="35">
        <f>'T6'!K28</f>
        <v>18061983.881999999</v>
      </c>
      <c r="J28" s="34">
        <f>'T7'!K28</f>
        <v>17843249.785999998</v>
      </c>
      <c r="K28" s="37">
        <f>'T8'!K28</f>
        <v>0</v>
      </c>
      <c r="L28" s="38">
        <f>'T9'!K28</f>
        <v>0</v>
      </c>
      <c r="M28" s="39">
        <f>'T10'!K28</f>
        <v>0</v>
      </c>
      <c r="N28" s="38">
        <f>'T11'!K28</f>
        <v>0</v>
      </c>
      <c r="O28" s="38">
        <f>'T12'!K28</f>
        <v>0</v>
      </c>
      <c r="P28" s="40">
        <f>'T1'!O28+'T2'!O28+'T3'!O28+'T4'!O28+'T5'!O28+'T6'!O28+'T7'!O28+'T8'!O28+'T9'!O28+'T10'!O28+'T11'!O28+'T12'!O28</f>
        <v>4309500</v>
      </c>
      <c r="Q28" s="61">
        <f t="shared" si="12"/>
        <v>118042546.7045</v>
      </c>
      <c r="R28" s="42"/>
      <c r="S28" s="70">
        <f>'T1'!V28+'T2'!V28+'T3'!V28+'T4'!V28+'T5'!V28+'T6'!V28+'T7'!V28+'T8'!V28+'T9'!V28+'T10'!V28+'T11'!V28+'T12'!V28</f>
        <v>117242046.7045</v>
      </c>
      <c r="T28" s="71">
        <f>'T1'!W28+'T2'!W28+'T3'!W28+'T4'!W28+'T5'!W28+'T6'!W28+'T7'!W28+'T8'!W28+'T9'!W28+'T10'!W28+'T11'!W28+'T12'!W28</f>
        <v>77000000</v>
      </c>
      <c r="U28" s="71">
        <f>'T1'!X28+'T2'!X28+'T3'!X28+'T4'!X28+'T5'!X28+'T6'!X28+'T7'!X28+'T8'!X28+'T9'!X28+'T10'!X28+'T11'!X28+'T12'!X28</f>
        <v>61600000</v>
      </c>
      <c r="V28" s="71">
        <f>'T1'!Y28+'T2'!Y28+'T3'!Y28+'T4'!Y28+'T5'!Y28+'T6'!Y28+'T7'!Y28+'T8'!Y28+'T9'!Y28+'T10'!Y28+'T11'!Y28+'T12'!Y28</f>
        <v>0</v>
      </c>
      <c r="W28" s="71">
        <f>'T1'!Z28+'T2'!Z28+'T3'!Z28+'T4'!Z28+'T5'!Z28+'T6'!Z28+'T7'!Z28+'T8'!Z28+'T9'!Z28+'T10'!Z28+'T11'!Z28+'T12'!Z28</f>
        <v>0</v>
      </c>
      <c r="X28" s="71">
        <f t="shared" si="11"/>
        <v>0</v>
      </c>
      <c r="Y28" s="71">
        <f>'T1'!AB28+'T2'!AB28+'T3'!AB28+'T4'!AB28+'T5'!AB28+'T6'!AB28+'T7'!AB28+'T8'!AB28+'T9'!AB28+'T10'!AB28+'T11'!AB28+'T12'!AB28</f>
        <v>0</v>
      </c>
    </row>
    <row r="29" spans="1:25" s="26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>'T1'!K29</f>
        <v>16310781.692</v>
      </c>
      <c r="E29" s="58">
        <f>'T2'!K29</f>
        <v>22414596.375</v>
      </c>
      <c r="F29" s="34">
        <f>'T3'!K29</f>
        <v>20350923.822499998</v>
      </c>
      <c r="G29" s="34">
        <f>'T4'!K29</f>
        <v>18263659.172499999</v>
      </c>
      <c r="H29" s="35">
        <f>'T5'!K29</f>
        <v>18334515.565000001</v>
      </c>
      <c r="I29" s="35">
        <f>'T6'!K29</f>
        <v>18847929.852499999</v>
      </c>
      <c r="J29" s="34">
        <f>'T7'!K29</f>
        <v>18574512.232500002</v>
      </c>
      <c r="K29" s="37">
        <f>'T8'!K29</f>
        <v>19484731.422499999</v>
      </c>
      <c r="L29" s="38">
        <f>'T9'!K29</f>
        <v>19047328.274999999</v>
      </c>
      <c r="M29" s="39">
        <f>'T10'!K29</f>
        <v>16172034.984999999</v>
      </c>
      <c r="N29" s="38">
        <f>'T11'!K29</f>
        <v>18270085.2225</v>
      </c>
      <c r="O29" s="38">
        <f>'T12'!K29</f>
        <v>18107666.272500001</v>
      </c>
      <c r="P29" s="40">
        <f>'T1'!O29+'T2'!O29+'T3'!O29+'T4'!O29+'T5'!O29+'T6'!O29+'T7'!O29+'T8'!O29+'T9'!O29+'T10'!O29+'T11'!O29+'T12'!O29</f>
        <v>7908264</v>
      </c>
      <c r="Q29" s="61">
        <f t="shared" si="12"/>
        <v>216270500.88950002</v>
      </c>
      <c r="R29" s="42"/>
      <c r="S29" s="70">
        <f>'T1'!V29+'T2'!V29+'T3'!V29+'T4'!V29+'T5'!V29+'T6'!V29+'T7'!V29+'T8'!V29+'T9'!V29+'T10'!V29+'T11'!V29+'T12'!V29</f>
        <v>215418764.88950002</v>
      </c>
      <c r="T29" s="71">
        <f>'T1'!W29+'T2'!W29+'T3'!W29+'T4'!W29+'T5'!W29+'T6'!W29+'T7'!W29+'T8'!W29+'T9'!W29+'T10'!W29+'T11'!W29+'T12'!W29</f>
        <v>132000000</v>
      </c>
      <c r="U29" s="71">
        <f>'T1'!X29+'T2'!X29+'T3'!X29+'T4'!X29+'T5'!X29+'T6'!X29+'T7'!X29+'T8'!X29+'T9'!X29+'T10'!X29+'T11'!X29+'T12'!X29</f>
        <v>158400000</v>
      </c>
      <c r="V29" s="71">
        <f>'T1'!Y29+'T2'!Y29+'T3'!Y29+'T4'!Y29+'T5'!Y29+'T6'!Y29+'T7'!Y29+'T8'!Y29+'T9'!Y29+'T10'!Y29+'T11'!Y29+'T12'!Y29</f>
        <v>0</v>
      </c>
      <c r="W29" s="71">
        <f>'T1'!Z29+'T2'!Z29+'T3'!Z29+'T4'!Z29+'T5'!Z29+'T6'!Z29+'T7'!Z29+'T8'!Z29+'T9'!Z29+'T10'!Z29+'T11'!Z29+'T12'!Z29</f>
        <v>0</v>
      </c>
      <c r="X29" s="71">
        <f t="shared" si="11"/>
        <v>0</v>
      </c>
      <c r="Y29" s="71">
        <f>'T1'!AB29+'T2'!AB29+'T3'!AB29+'T4'!AB29+'T5'!AB29+'T6'!AB29+'T7'!AB29+'T8'!AB29+'T9'!AB29+'T10'!AB29+'T11'!AB29+'T12'!AB29</f>
        <v>0</v>
      </c>
    </row>
    <row r="30" spans="1:25" s="26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>'T1'!K30</f>
        <v>16310781.692</v>
      </c>
      <c r="E30" s="58">
        <f>'T2'!K30</f>
        <v>22414596.375</v>
      </c>
      <c r="F30" s="34">
        <f>'T3'!K30</f>
        <v>20350923.822499998</v>
      </c>
      <c r="G30" s="34">
        <f>'T4'!K30</f>
        <v>18263659.172499999</v>
      </c>
      <c r="H30" s="35">
        <f>'T5'!K30</f>
        <v>18334515.565000001</v>
      </c>
      <c r="I30" s="35">
        <f>'T6'!K30</f>
        <v>18847929.852499999</v>
      </c>
      <c r="J30" s="34">
        <f>'T7'!K30</f>
        <v>18574512.232500002</v>
      </c>
      <c r="K30" s="37">
        <f>'T8'!K30</f>
        <v>19484731.422499999</v>
      </c>
      <c r="L30" s="38">
        <f>'T9'!K30</f>
        <v>19047328.274999999</v>
      </c>
      <c r="M30" s="39">
        <f>'T10'!K30</f>
        <v>16172034.984999999</v>
      </c>
      <c r="N30" s="38">
        <f>'T11'!K30</f>
        <v>18270085.2225</v>
      </c>
      <c r="O30" s="38">
        <f>'T12'!K30</f>
        <v>18107666.272500001</v>
      </c>
      <c r="P30" s="40">
        <f>'T1'!O30+'T2'!O30+'T3'!O30+'T4'!O30+'T5'!O30+'T6'!O30+'T7'!O30+'T8'!O30+'T9'!O30+'T10'!O30+'T11'!O30+'T12'!O30</f>
        <v>7908264</v>
      </c>
      <c r="Q30" s="61">
        <f t="shared" si="12"/>
        <v>216270500.88950002</v>
      </c>
      <c r="R30" s="42"/>
      <c r="S30" s="70">
        <f>'T1'!V30+'T2'!V30+'T3'!V30+'T4'!V30+'T5'!V30+'T6'!V30+'T7'!V30+'T8'!V30+'T9'!V30+'T10'!V30+'T11'!V30+'T12'!V30</f>
        <v>215418764.88950002</v>
      </c>
      <c r="T30" s="71">
        <f>'T1'!W30+'T2'!W30+'T3'!W30+'T4'!W30+'T5'!W30+'T6'!W30+'T7'!W30+'T8'!W30+'T9'!W30+'T10'!W30+'T11'!W30+'T12'!W30</f>
        <v>132000000</v>
      </c>
      <c r="U30" s="71">
        <f>'T1'!X30+'T2'!X30+'T3'!X30+'T4'!X30+'T5'!X30+'T6'!X30+'T7'!X30+'T8'!X30+'T9'!X30+'T10'!X30+'T11'!X30+'T12'!X30</f>
        <v>52800000</v>
      </c>
      <c r="V30" s="71">
        <f>'T1'!Y30+'T2'!Y30+'T3'!Y30+'T4'!Y30+'T5'!Y30+'T6'!Y30+'T7'!Y30+'T8'!Y30+'T9'!Y30+'T10'!Y30+'T11'!Y30+'T12'!Y30</f>
        <v>23805728.212499999</v>
      </c>
      <c r="W30" s="71">
        <f>'T1'!Z30+'T2'!Z30+'T3'!Z30+'T4'!Z30+'T5'!Z30+'T6'!Z30+'T7'!Z30+'T8'!Z30+'T9'!Z30+'T10'!Z30+'T11'!Z30+'T12'!Z30</f>
        <v>1221564</v>
      </c>
      <c r="X30" s="71">
        <f t="shared" si="11"/>
        <v>22710500.889500022</v>
      </c>
      <c r="Y30" s="71">
        <f>'T1'!AB30+'T2'!AB30+'T3'!AB30+'T4'!AB30+'T5'!AB30+'T6'!AB30+'T7'!AB30+'T8'!AB30+'T9'!AB30+'T10'!AB30+'T11'!AB30+'T12'!AB30</f>
        <v>0</v>
      </c>
    </row>
    <row r="31" spans="1:25" s="26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>'T1'!K31</f>
        <v>15286721.128</v>
      </c>
      <c r="E31" s="58">
        <f>'T2'!K31</f>
        <v>18576237.824999999</v>
      </c>
      <c r="F31" s="34">
        <f>'T3'!K31</f>
        <v>17338034.293499999</v>
      </c>
      <c r="G31" s="34">
        <f>'T4'!K31</f>
        <v>17594567.338</v>
      </c>
      <c r="H31" s="35">
        <f>'T5'!K31</f>
        <v>17651252.452</v>
      </c>
      <c r="I31" s="35">
        <f>'T6'!K31</f>
        <v>18061983.881999999</v>
      </c>
      <c r="J31" s="34">
        <f>'T7'!K31</f>
        <v>17843249.785999998</v>
      </c>
      <c r="K31" s="37">
        <f>'T8'!K31</f>
        <v>18571425.138</v>
      </c>
      <c r="L31" s="38">
        <f>'T9'!K31</f>
        <v>18221502.620000001</v>
      </c>
      <c r="M31" s="39">
        <f>'T10'!K31</f>
        <v>15921267.988</v>
      </c>
      <c r="N31" s="38">
        <f>'T11'!K31</f>
        <v>17599708.177999999</v>
      </c>
      <c r="O31" s="38">
        <f>'T12'!K31</f>
        <v>17469773.017999999</v>
      </c>
      <c r="P31" s="40">
        <f>'T1'!O31+'T2'!O31+'T3'!O31+'T4'!O31+'T5'!O31+'T6'!O31+'T7'!O31+'T8'!O31+'T9'!O31+'T10'!O31+'T11'!O31+'T12'!O31</f>
        <v>7239960</v>
      </c>
      <c r="Q31" s="61">
        <f t="shared" si="12"/>
        <v>202895763.64650002</v>
      </c>
      <c r="R31" s="42"/>
      <c r="S31" s="70">
        <f>'T1'!V31+'T2'!V31+'T3'!V31+'T4'!V31+'T5'!V31+'T6'!V31+'T7'!V31+'T8'!V31+'T9'!V31+'T10'!V31+'T11'!V31+'T12'!V31</f>
        <v>201375723.64650002</v>
      </c>
      <c r="T31" s="71">
        <f>'T1'!W31+'T2'!W31+'T3'!W31+'T4'!W31+'T5'!W31+'T6'!W31+'T7'!W31+'T8'!W31+'T9'!W31+'T10'!W31+'T11'!W31+'T12'!W31</f>
        <v>132000000</v>
      </c>
      <c r="U31" s="71">
        <f>'T1'!X31+'T2'!X31+'T3'!X31+'T4'!X31+'T5'!X31+'T6'!X31+'T7'!X31+'T8'!X31+'T9'!X31+'T10'!X31+'T11'!X31+'T12'!X31</f>
        <v>158400000</v>
      </c>
      <c r="V31" s="71">
        <f>'T1'!Y31+'T2'!Y31+'T3'!Y31+'T4'!Y31+'T5'!Y31+'T6'!Y31+'T7'!Y31+'T8'!Y31+'T9'!Y31+'T10'!Y31+'T11'!Y31+'T12'!Y31</f>
        <v>0</v>
      </c>
      <c r="W31" s="71">
        <f>'T1'!Z31+'T2'!Z31+'T3'!Z31+'T4'!Z31+'T5'!Z31+'T6'!Z31+'T7'!Z31+'T8'!Z31+'T9'!Z31+'T10'!Z31+'T11'!Z31+'T12'!Z31</f>
        <v>0</v>
      </c>
      <c r="X31" s="71">
        <f t="shared" si="11"/>
        <v>0</v>
      </c>
      <c r="Y31" s="71">
        <f>'T1'!AB31+'T2'!AB31+'T3'!AB31+'T4'!AB31+'T5'!AB31+'T6'!AB31+'T7'!AB31+'T8'!AB31+'T9'!AB31+'T10'!AB31+'T11'!AB31+'T12'!AB31</f>
        <v>0</v>
      </c>
    </row>
    <row r="32" spans="1:25" s="26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>'T1'!K32</f>
        <v>15286721.128</v>
      </c>
      <c r="E32" s="58">
        <f>'T2'!K32</f>
        <v>18576237.824999999</v>
      </c>
      <c r="F32" s="34">
        <f>'T3'!K32</f>
        <v>17338034.293499999</v>
      </c>
      <c r="G32" s="34">
        <f>'T4'!K32</f>
        <v>17594567.338</v>
      </c>
      <c r="H32" s="35">
        <f>'T5'!K32</f>
        <v>17651252.452</v>
      </c>
      <c r="I32" s="35">
        <f>'T6'!K32</f>
        <v>18061983.881999999</v>
      </c>
      <c r="J32" s="34">
        <f>'T7'!K32</f>
        <v>17843249.785999998</v>
      </c>
      <c r="K32" s="37">
        <f>'T8'!K32</f>
        <v>18571425.138</v>
      </c>
      <c r="L32" s="38">
        <f>'T9'!K32</f>
        <v>18221502.620000001</v>
      </c>
      <c r="M32" s="39">
        <f>'T10'!K32</f>
        <v>15921267.988</v>
      </c>
      <c r="N32" s="38">
        <f>'T11'!K32</f>
        <v>17599708.177999999</v>
      </c>
      <c r="O32" s="38">
        <f>'T12'!K32</f>
        <v>17469773.017999999</v>
      </c>
      <c r="P32" s="40">
        <f>'T1'!O32+'T2'!O32+'T3'!O32+'T4'!O32+'T5'!O32+'T6'!O32+'T7'!O32+'T8'!O32+'T9'!O32+'T10'!O32+'T11'!O32+'T12'!O32</f>
        <v>7239960</v>
      </c>
      <c r="Q32" s="61">
        <f t="shared" si="12"/>
        <v>202895763.64650002</v>
      </c>
      <c r="R32" s="42"/>
      <c r="S32" s="70">
        <f>'T1'!V32+'T2'!V32+'T3'!V32+'T4'!V32+'T5'!V32+'T6'!V32+'T7'!V32+'T8'!V32+'T9'!V32+'T10'!V32+'T11'!V32+'T12'!V32</f>
        <v>201375723.64650002</v>
      </c>
      <c r="T32" s="71">
        <f>'T1'!W32+'T2'!W32+'T3'!W32+'T4'!W32+'T5'!W32+'T6'!W32+'T7'!W32+'T8'!W32+'T9'!W32+'T10'!W32+'T11'!W32+'T12'!W32</f>
        <v>132000000</v>
      </c>
      <c r="U32" s="71">
        <f>'T1'!X32+'T2'!X32+'T3'!X32+'T4'!X32+'T5'!X32+'T6'!X32+'T7'!X32+'T8'!X32+'T9'!X32+'T10'!X32+'T11'!X32+'T12'!X32</f>
        <v>158400000</v>
      </c>
      <c r="V32" s="71">
        <f>'T1'!Y32+'T2'!Y32+'T3'!Y32+'T4'!Y32+'T5'!Y32+'T6'!Y32+'T7'!Y32+'T8'!Y32+'T9'!Y32+'T10'!Y32+'T11'!Y32+'T12'!Y32</f>
        <v>0</v>
      </c>
      <c r="W32" s="71">
        <f>'T1'!Z32+'T2'!Z32+'T3'!Z32+'T4'!Z32+'T5'!Z32+'T6'!Z32+'T7'!Z32+'T8'!Z32+'T9'!Z32+'T10'!Z32+'T11'!Z32+'T12'!Z32</f>
        <v>0</v>
      </c>
      <c r="X32" s="71">
        <f t="shared" si="11"/>
        <v>0</v>
      </c>
      <c r="Y32" s="71">
        <f>'T1'!AB32+'T2'!AB32+'T3'!AB32+'T4'!AB32+'T5'!AB32+'T6'!AB32+'T7'!AB32+'T8'!AB32+'T9'!AB32+'T10'!AB32+'T11'!AB32+'T12'!AB32</f>
        <v>0</v>
      </c>
    </row>
    <row r="33" spans="1:25" s="26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>'T1'!K33</f>
        <v>16438994.134</v>
      </c>
      <c r="E33" s="58">
        <f>'T2'!K33</f>
        <v>16962312.302000001</v>
      </c>
      <c r="F33" s="34">
        <f>'T3'!K33</f>
        <v>16921743.155999999</v>
      </c>
      <c r="G33" s="34">
        <f>'T4'!K33</f>
        <v>17039232.618000001</v>
      </c>
      <c r="H33" s="35">
        <f>'T5'!K33</f>
        <v>15914977.316</v>
      </c>
      <c r="I33" s="35">
        <f>'T6'!K33</f>
        <v>15434342.556</v>
      </c>
      <c r="J33" s="34">
        <f>'T7'!K33</f>
        <v>15081604.418</v>
      </c>
      <c r="K33" s="37">
        <f>'T8'!K33</f>
        <v>17514901.556000002</v>
      </c>
      <c r="L33" s="38">
        <f>'T9'!K33</f>
        <v>15297538.800000001</v>
      </c>
      <c r="M33" s="39">
        <f>'T10'!K33</f>
        <v>14375000</v>
      </c>
      <c r="N33" s="38">
        <f>'T11'!K33</f>
        <v>15901412.473999999</v>
      </c>
      <c r="O33" s="38">
        <f>'T12'!K33</f>
        <v>15944761.855999999</v>
      </c>
      <c r="P33" s="40">
        <f>'T1'!O33+'T2'!O33+'T3'!O33+'T4'!O33+'T5'!O33+'T6'!O33+'T7'!O33+'T8'!O33+'T9'!O33+'T10'!O33+'T11'!O33+'T12'!O33</f>
        <v>7239960</v>
      </c>
      <c r="Q33" s="61">
        <f t="shared" si="12"/>
        <v>185586861.18600002</v>
      </c>
      <c r="R33" s="42"/>
      <c r="S33" s="70">
        <f>'T1'!V33+'T2'!V33+'T3'!V33+'T4'!V33+'T5'!V33+'T6'!V33+'T7'!V33+'T8'!V33+'T9'!V33+'T10'!V33+'T11'!V33+'T12'!V33</f>
        <v>184066821.18600002</v>
      </c>
      <c r="T33" s="71">
        <f>'T1'!W33+'T2'!W33+'T3'!W33+'T4'!W33+'T5'!W33+'T6'!W33+'T7'!W33+'T8'!W33+'T9'!W33+'T10'!W33+'T11'!W33+'T12'!W33</f>
        <v>132000000</v>
      </c>
      <c r="U33" s="71">
        <f>'T1'!X33+'T2'!X33+'T3'!X33+'T4'!X33+'T5'!X33+'T6'!X33+'T7'!X33+'T8'!X33+'T9'!X33+'T10'!X33+'T11'!X33+'T12'!X33</f>
        <v>0</v>
      </c>
      <c r="V33" s="71">
        <f>'T1'!Y33+'T2'!Y33+'T3'!Y33+'T4'!Y33+'T5'!Y33+'T6'!Y33+'T7'!Y33+'T8'!Y33+'T9'!Y33+'T10'!Y33+'T11'!Y33+'T12'!Y33</f>
        <v>44826861.186000004</v>
      </c>
      <c r="W33" s="71">
        <f>'T1'!Z33+'T2'!Z33+'T3'!Z33+'T4'!Z33+'T5'!Z33+'T6'!Z33+'T7'!Z33+'T8'!Z33+'T9'!Z33+'T10'!Z33+'T11'!Z33+'T12'!Z33</f>
        <v>2250422</v>
      </c>
      <c r="X33" s="71">
        <f t="shared" si="11"/>
        <v>44826861.186000019</v>
      </c>
      <c r="Y33" s="71">
        <f>'T1'!AB33+'T2'!AB33+'T3'!AB33+'T4'!AB33+'T5'!AB33+'T6'!AB33+'T7'!AB33+'T8'!AB33+'T9'!AB33+'T10'!AB33+'T11'!AB33+'T12'!AB33</f>
        <v>0</v>
      </c>
    </row>
    <row r="34" spans="1:25" s="26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>'T1'!K34</f>
        <v>19034111.973999999</v>
      </c>
      <c r="E34" s="58">
        <f>'T2'!K34</f>
        <v>26545075.649999999</v>
      </c>
      <c r="F34" s="34">
        <f>'T3'!K34</f>
        <v>24068668.586999997</v>
      </c>
      <c r="G34" s="34">
        <f>'T4'!K34</f>
        <v>23072842.841499999</v>
      </c>
      <c r="H34" s="35">
        <f>'T5'!K34</f>
        <v>23172041.791000001</v>
      </c>
      <c r="I34" s="35">
        <f>'T6'!K34</f>
        <v>23890821.793499999</v>
      </c>
      <c r="J34" s="34">
        <f>'T7'!K34</f>
        <v>23508037.125500001</v>
      </c>
      <c r="K34" s="37">
        <f>'T8'!K34</f>
        <v>24782343.991499998</v>
      </c>
      <c r="L34" s="38">
        <f>'T9'!K34</f>
        <v>24169979.585000001</v>
      </c>
      <c r="M34" s="39">
        <f>'T10'!K34</f>
        <v>20144568.979000002</v>
      </c>
      <c r="N34" s="38">
        <f>'T11'!K34</f>
        <v>23081839.311499998</v>
      </c>
      <c r="O34" s="38">
        <f>'T12'!K34</f>
        <v>22854452.781500001</v>
      </c>
      <c r="P34" s="40">
        <f>'T1'!O34+'T2'!O34+'T3'!O34+'T4'!O34+'T5'!O34+'T6'!O34+'T7'!O34+'T8'!O34+'T9'!O34+'T10'!O34+'T11'!O34+'T12'!O34</f>
        <v>9998352</v>
      </c>
      <c r="Q34" s="61">
        <f t="shared" si="12"/>
        <v>268326432.41099995</v>
      </c>
      <c r="R34" s="42"/>
      <c r="S34" s="70">
        <f>'T1'!V34+'T2'!V34+'T3'!V34+'T4'!V34+'T5'!V34+'T6'!V34+'T7'!V34+'T8'!V34+'T9'!V34+'T10'!V34+'T11'!V34+'T12'!V34</f>
        <v>269564784.41099995</v>
      </c>
      <c r="T34" s="71">
        <f>'T1'!W34+'T2'!W34+'T3'!W34+'T4'!W34+'T5'!W34+'T6'!W34+'T7'!W34+'T8'!W34+'T9'!W34+'T10'!W34+'T11'!W34+'T12'!W34</f>
        <v>132000000</v>
      </c>
      <c r="U34" s="71">
        <f>'T1'!X34+'T2'!X34+'T3'!X34+'T4'!X34+'T5'!X34+'T6'!X34+'T7'!X34+'T8'!X34+'T9'!X34+'T10'!X34+'T11'!X34+'T12'!X34</f>
        <v>118800000</v>
      </c>
      <c r="V34" s="71">
        <f>'T1'!Y34+'T2'!Y34+'T3'!Y34+'T4'!Y34+'T5'!Y34+'T6'!Y34+'T7'!Y34+'T8'!Y34+'T9'!Y34+'T10'!Y34+'T11'!Y34+'T12'!Y34</f>
        <v>31958268.210999995</v>
      </c>
      <c r="W34" s="71">
        <f>'T1'!Z34+'T2'!Z34+'T3'!Z34+'T4'!Z34+'T5'!Z34+'T6'!Z34+'T7'!Z34+'T8'!Z34+'T9'!Z34+'T10'!Z34+'T11'!Z34+'T12'!Z34</f>
        <v>2720195</v>
      </c>
      <c r="X34" s="71">
        <f t="shared" si="11"/>
        <v>8766432.4109999537</v>
      </c>
      <c r="Y34" s="71">
        <f>'T1'!AB34+'T2'!AB34+'T3'!AB34+'T4'!AB34+'T5'!AB34+'T6'!AB34+'T7'!AB34+'T8'!AB34+'T9'!AB34+'T10'!AB34+'T11'!AB34+'T12'!AB34</f>
        <v>0</v>
      </c>
    </row>
    <row r="35" spans="1:25" s="26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>'T1'!K35</f>
        <v>15911194.134</v>
      </c>
      <c r="E35" s="58">
        <f>'T2'!K35</f>
        <v>16434512.302000001</v>
      </c>
      <c r="F35" s="34">
        <f>'T3'!K35</f>
        <v>16393943.155999999</v>
      </c>
      <c r="G35" s="34">
        <f>'T4'!K35</f>
        <v>16511432.618000001</v>
      </c>
      <c r="H35" s="35">
        <f>'T5'!K35</f>
        <v>15387177.316</v>
      </c>
      <c r="I35" s="35">
        <f>'T6'!K35</f>
        <v>14906542.556</v>
      </c>
      <c r="J35" s="34">
        <f>'T7'!K35</f>
        <v>14553804.418</v>
      </c>
      <c r="K35" s="37">
        <f>'T8'!K35</f>
        <v>16987101.556000002</v>
      </c>
      <c r="L35" s="38">
        <f>'T9'!K35</f>
        <v>14769738.800000001</v>
      </c>
      <c r="M35" s="39">
        <f>'T10'!K35</f>
        <v>13847200</v>
      </c>
      <c r="N35" s="38">
        <f>'T11'!K35</f>
        <v>15373612.473999999</v>
      </c>
      <c r="O35" s="38">
        <f>'T12'!K35</f>
        <v>15416961.855999999</v>
      </c>
      <c r="P35" s="40">
        <f>'T1'!O35+'T2'!O35+'T3'!O35+'T4'!O35+'T5'!O35+'T6'!O35+'T7'!O35+'T8'!O35+'T9'!O35+'T10'!O35+'T11'!O35+'T12'!O35</f>
        <v>8301384</v>
      </c>
      <c r="Q35" s="61">
        <f t="shared" si="12"/>
        <v>178191837.18600002</v>
      </c>
      <c r="R35" s="42"/>
      <c r="S35" s="70">
        <f>'T1'!V35+'T2'!V35+'T3'!V35+'T4'!V35+'T5'!V35+'T6'!V35+'T7'!V35+'T8'!V35+'T9'!V35+'T10'!V35+'T11'!V35+'T12'!V35</f>
        <v>177733221.18600002</v>
      </c>
      <c r="T35" s="71">
        <f>'T1'!W35+'T2'!W35+'T3'!W35+'T4'!W35+'T5'!W35+'T6'!W35+'T7'!W35+'T8'!W35+'T9'!W35+'T10'!W35+'T11'!W35+'T12'!W35</f>
        <v>132000000</v>
      </c>
      <c r="U35" s="71">
        <f>'T1'!X35+'T2'!X35+'T3'!X35+'T4'!X35+'T5'!X35+'T6'!X35+'T7'!X35+'T8'!X35+'T9'!X35+'T10'!X35+'T11'!X35+'T12'!X35</f>
        <v>0</v>
      </c>
      <c r="V35" s="71">
        <f>'T1'!Y35+'T2'!Y35+'T3'!Y35+'T4'!Y35+'T5'!Y35+'T6'!Y35+'T7'!Y35+'T8'!Y35+'T9'!Y35+'T10'!Y35+'T11'!Y35+'T12'!Y35</f>
        <v>37431837.185999997</v>
      </c>
      <c r="W35" s="71">
        <f>'T1'!Z35+'T2'!Z35+'T3'!Z35+'T4'!Z35+'T5'!Z35+'T6'!Z35+'T7'!Z35+'T8'!Z35+'T9'!Z35+'T10'!Z35+'T11'!Z35+'T12'!Z35</f>
        <v>1871594</v>
      </c>
      <c r="X35" s="71">
        <f t="shared" si="11"/>
        <v>37431837.186000019</v>
      </c>
      <c r="Y35" s="71">
        <f>'T1'!AB35+'T2'!AB35+'T3'!AB35+'T4'!AB35+'T5'!AB35+'T6'!AB35+'T7'!AB35+'T8'!AB35+'T9'!AB35+'T10'!AB35+'T11'!AB35+'T12'!AB35</f>
        <v>0</v>
      </c>
    </row>
    <row r="36" spans="1:25" s="26" customFormat="1" ht="21.75" customHeight="1" x14ac:dyDescent="0.25">
      <c r="A36" s="29">
        <v>23</v>
      </c>
      <c r="B36" s="30" t="s">
        <v>111</v>
      </c>
      <c r="C36" s="31" t="s">
        <v>29</v>
      </c>
      <c r="D36" s="32">
        <f>'T1'!K36</f>
        <v>18351191.201000001</v>
      </c>
      <c r="E36" s="58">
        <f>'T2'!K36</f>
        <v>19136168.453000002</v>
      </c>
      <c r="F36" s="34">
        <f>'T3'!K36</f>
        <v>19075314.734000001</v>
      </c>
      <c r="G36" s="34">
        <f>'T4'!K36</f>
        <v>19251548.927000001</v>
      </c>
      <c r="H36" s="35">
        <f>'T5'!K36</f>
        <v>17565165.973999999</v>
      </c>
      <c r="I36" s="35">
        <f>'T6'!K36</f>
        <v>16844213.833999999</v>
      </c>
      <c r="J36" s="34">
        <f>'T7'!K36</f>
        <v>16315106.627</v>
      </c>
      <c r="K36" s="37">
        <f>'T8'!K36</f>
        <v>19965052.333999999</v>
      </c>
      <c r="L36" s="38">
        <f>'T9'!K36</f>
        <v>16639008.199999999</v>
      </c>
      <c r="M36" s="39">
        <f>'T10'!K36</f>
        <v>15959200</v>
      </c>
      <c r="N36" s="38">
        <f>'T11'!K36</f>
        <v>17544818.710999999</v>
      </c>
      <c r="O36" s="38">
        <f>'T12'!K36</f>
        <v>17609842.784000002</v>
      </c>
      <c r="P36" s="40">
        <f>'T1'!O36+'T2'!O36+'T3'!O36+'T4'!O36+'T5'!O36+'T6'!O36+'T7'!O36+'T8'!O36+'T9'!O36+'T10'!O36+'T11'!O36+'T12'!O36</f>
        <v>8301384</v>
      </c>
      <c r="Q36" s="61">
        <f t="shared" si="12"/>
        <v>205955247.77899998</v>
      </c>
      <c r="R36" s="42"/>
      <c r="S36" s="70">
        <f>'T1'!V36+'T2'!V36+'T3'!V36+'T4'!V36+'T5'!V36+'T6'!V36+'T7'!V36+'T8'!V36+'T9'!V36+'T10'!V36+'T11'!V36+'T12'!V36</f>
        <v>205496631.77899998</v>
      </c>
      <c r="T36" s="71">
        <f>'T1'!W36+'T2'!W36+'T3'!W36+'T4'!W36+'T5'!W36+'T6'!W36+'T7'!W36+'T8'!W36+'T9'!W36+'T10'!W36+'T11'!W36+'T12'!W36</f>
        <v>132000000</v>
      </c>
      <c r="U36" s="71">
        <f>'T1'!X36+'T2'!X36+'T3'!X36+'T4'!X36+'T5'!X36+'T6'!X36+'T7'!X36+'T8'!X36+'T9'!X36+'T10'!X36+'T11'!X36+'T12'!X36</f>
        <v>52800000</v>
      </c>
      <c r="V36" s="71">
        <f>'T1'!Y36+'T2'!Y36+'T3'!Y36+'T4'!Y36+'T5'!Y36+'T6'!Y36+'T7'!Y36+'T8'!Y36+'T9'!Y36+'T10'!Y36+'T11'!Y36+'T12'!Y36</f>
        <v>13947278.952000003</v>
      </c>
      <c r="W36" s="71">
        <f>'T1'!Z36+'T2'!Z36+'T3'!Z36+'T4'!Z36+'T5'!Z36+'T6'!Z36+'T7'!Z36+'T8'!Z36+'T9'!Z36+'T10'!Z36+'T11'!Z36+'T12'!Z36</f>
        <v>697364</v>
      </c>
      <c r="X36" s="71">
        <f t="shared" si="11"/>
        <v>12395247.778999984</v>
      </c>
      <c r="Y36" s="71">
        <f>'T1'!AB36+'T2'!AB36+'T3'!AB36+'T4'!AB36+'T5'!AB36+'T6'!AB36+'T7'!AB36+'T8'!AB36+'T9'!AB36+'T10'!AB36+'T11'!AB36+'T12'!AB36</f>
        <v>0</v>
      </c>
    </row>
    <row r="37" spans="1:25" s="26" customFormat="1" ht="21.75" customHeight="1" x14ac:dyDescent="0.25">
      <c r="A37" s="29">
        <v>24</v>
      </c>
      <c r="B37" s="30" t="s">
        <v>128</v>
      </c>
      <c r="C37" s="31" t="s">
        <v>129</v>
      </c>
      <c r="D37" s="32">
        <f>'T1'!K37</f>
        <v>0</v>
      </c>
      <c r="E37" s="58">
        <f>'T2'!K37</f>
        <v>0</v>
      </c>
      <c r="F37" s="34">
        <f>'T3'!K37</f>
        <v>0</v>
      </c>
      <c r="G37" s="34">
        <f>'T4'!K37</f>
        <v>0</v>
      </c>
      <c r="H37" s="35">
        <f>'T5'!K37</f>
        <v>11875388.658</v>
      </c>
      <c r="I37" s="35">
        <f>'T6'!K37</f>
        <v>11635071.278000001</v>
      </c>
      <c r="J37" s="34">
        <f>'T7'!K37</f>
        <v>11458702.209000001</v>
      </c>
      <c r="K37" s="37">
        <f>'T8'!K37</f>
        <v>12675350.778000001</v>
      </c>
      <c r="L37" s="38">
        <f>'T9'!K37</f>
        <v>11566669.4</v>
      </c>
      <c r="M37" s="39">
        <f>'T10'!K37</f>
        <v>11105399.617000001</v>
      </c>
      <c r="N37" s="38">
        <f>'T11'!K37</f>
        <v>11868606.237</v>
      </c>
      <c r="O37" s="38">
        <f>'T12'!K37</f>
        <v>11890280.927999999</v>
      </c>
      <c r="P37" s="40">
        <f>'T1'!O37+'T2'!O37+'T3'!O37+'T4'!O37+'T5'!O37+'T6'!O37+'T7'!O37+'T8'!O37+'T9'!O37+'T10'!O37+'T11'!O37+'T12'!O37</f>
        <v>4525248</v>
      </c>
      <c r="Q37" s="61">
        <f t="shared" si="12"/>
        <v>89550221.105000019</v>
      </c>
      <c r="R37" s="42"/>
      <c r="S37" s="70">
        <f>'T1'!V37+'T2'!V37+'T3'!V37+'T4'!V37+'T5'!V37+'T6'!V37+'T7'!V37+'T8'!V37+'T9'!V37+'T10'!V37+'T11'!V37+'T12'!V37</f>
        <v>88235469.105000004</v>
      </c>
      <c r="T37" s="71">
        <f>'T1'!W37+'T2'!W37+'T3'!W37+'T4'!W37+'T5'!W37+'T6'!W37+'T7'!W37+'T8'!W37+'T9'!W37+'T10'!W37+'T11'!W37+'T12'!W37</f>
        <v>88000000</v>
      </c>
      <c r="U37" s="71">
        <f>'T1'!X37+'T2'!X37+'T3'!X37+'T4'!X37+'T5'!X37+'T6'!X37+'T7'!X37+'T8'!X37+'T9'!X37+'T10'!X37+'T11'!X37+'T12'!X37</f>
        <v>0</v>
      </c>
      <c r="V37" s="71">
        <f>'T1'!Y37+'T2'!Y37+'T3'!Y37+'T4'!Y37+'T5'!Y37+'T6'!Y37+'T7'!Y37+'T8'!Y37+'T9'!Y37+'T10'!Y37+'T11'!Y37+'T12'!Y37</f>
        <v>379694.77800000086</v>
      </c>
      <c r="W37" s="71">
        <f>'T1'!Z37+'T2'!Z37+'T3'!Z37+'T4'!Z37+'T5'!Z37+'T6'!Z37+'T7'!Z37+'T8'!Z37+'T9'!Z37+'T10'!Z37+'T11'!Z37+'T12'!Z37</f>
        <v>18985</v>
      </c>
      <c r="X37" s="71">
        <f t="shared" si="11"/>
        <v>0</v>
      </c>
      <c r="Y37" s="71">
        <f>'T1'!AB37+'T2'!AB37+'T3'!AB37+'T4'!AB37+'T5'!AB37+'T6'!AB37+'T7'!AB37+'T8'!AB37+'T9'!AB37+'T10'!AB37+'T11'!AB37+'T12'!AB37</f>
        <v>0</v>
      </c>
    </row>
    <row r="38" spans="1:25" s="26" customFormat="1" ht="21.75" customHeight="1" x14ac:dyDescent="0.25">
      <c r="A38" s="29">
        <v>25</v>
      </c>
      <c r="B38" s="30" t="s">
        <v>135</v>
      </c>
      <c r="C38" s="31" t="s">
        <v>136</v>
      </c>
      <c r="D38" s="32">
        <f>'T1'!K38</f>
        <v>0</v>
      </c>
      <c r="E38" s="58">
        <f>'T2'!K38</f>
        <v>0</v>
      </c>
      <c r="F38" s="34">
        <f>'T3'!K38</f>
        <v>0</v>
      </c>
      <c r="G38" s="34">
        <f>'T4'!K38</f>
        <v>0</v>
      </c>
      <c r="H38" s="35">
        <f>'T5'!K38</f>
        <v>15000000</v>
      </c>
      <c r="I38" s="35">
        <f>'T6'!K38</f>
        <v>15000000</v>
      </c>
      <c r="J38" s="34">
        <f>'T7'!K38</f>
        <v>15000000</v>
      </c>
      <c r="K38" s="37">
        <f>'T8'!K38</f>
        <v>15000000</v>
      </c>
      <c r="L38" s="38">
        <f>'T9'!K38</f>
        <v>15000000</v>
      </c>
      <c r="M38" s="39">
        <f>'T10'!K38</f>
        <v>25000000</v>
      </c>
      <c r="N38" s="38">
        <f>'T11'!K38</f>
        <v>0</v>
      </c>
      <c r="O38" s="38">
        <f>'T12'!K38</f>
        <v>0</v>
      </c>
      <c r="P38" s="40">
        <f>'T1'!O38+'T2'!O38+'T3'!O38+'T4'!O38+'T5'!O38+'T6'!O38+'T7'!O38+'T8'!O38+'T9'!O38+'T10'!O38+'T11'!O38+'T12'!O38</f>
        <v>0</v>
      </c>
      <c r="Q38" s="61">
        <f t="shared" si="12"/>
        <v>100000000</v>
      </c>
      <c r="R38" s="42"/>
      <c r="S38" s="70">
        <f>'T1'!V38+'T2'!V38+'T3'!V38+'T4'!V38+'T5'!V38+'T6'!V38+'T7'!V38+'T8'!V38+'T9'!V38+'T10'!V38+'T11'!V38+'T12'!V38</f>
        <v>100000000</v>
      </c>
      <c r="T38" s="71">
        <f>'T1'!W38+'T2'!W38+'T3'!W38+'T4'!W38+'T5'!W38+'T6'!W38+'T7'!W38+'T8'!W38+'T9'!W38+'T10'!W38+'T11'!W38+'T12'!W38</f>
        <v>0</v>
      </c>
      <c r="U38" s="71">
        <f>'T1'!X38+'T2'!X38+'T3'!X38+'T4'!X38+'T5'!X38+'T6'!X38+'T7'!X38+'T8'!X38+'T9'!X38+'T10'!X38+'T11'!X38+'T12'!X38</f>
        <v>0</v>
      </c>
      <c r="V38" s="71">
        <f>'T1'!Y38+'T2'!Y38+'T3'!Y38+'T4'!Y38+'T5'!Y38+'T6'!Y38+'T7'!Y38+'T8'!Y38+'T9'!Y38+'T10'!Y38+'T11'!Y38+'T12'!Y38</f>
        <v>100000000</v>
      </c>
      <c r="W38" s="71">
        <f>'T1'!Z38+'T2'!Z38+'T3'!Z38+'T4'!Z38+'T5'!Z38+'T6'!Z38+'T7'!Z38+'T8'!Z38+'T9'!Z38+'T10'!Z38+'T11'!Z38+'T12'!Z38</f>
        <v>10000000</v>
      </c>
      <c r="X38" s="71">
        <f t="shared" si="11"/>
        <v>100000000</v>
      </c>
      <c r="Y38" s="71">
        <f>'T1'!AB38+'T2'!AB38+'T3'!AB38+'T4'!AB38+'T5'!AB38+'T6'!AB38+'T7'!AB38+'T8'!AB38+'T9'!AB38+'T10'!AB38+'T11'!AB38+'T12'!AB38</f>
        <v>0</v>
      </c>
    </row>
    <row r="39" spans="1:25" s="26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>'T1'!K39</f>
        <v>0</v>
      </c>
      <c r="E39" s="58">
        <f>'T2'!K39</f>
        <v>0</v>
      </c>
      <c r="F39" s="34">
        <f>'T3'!K39</f>
        <v>0</v>
      </c>
      <c r="G39" s="34">
        <f>'T4'!K39</f>
        <v>0</v>
      </c>
      <c r="H39" s="35">
        <f>'T5'!K39</f>
        <v>0</v>
      </c>
      <c r="I39" s="35">
        <f>'T6'!K39</f>
        <v>0</v>
      </c>
      <c r="J39" s="34">
        <f>'T7'!K39</f>
        <v>0</v>
      </c>
      <c r="K39" s="37">
        <f>'T8'!K39</f>
        <v>16987101.556000002</v>
      </c>
      <c r="L39" s="38">
        <f>'T9'!K39</f>
        <v>14769738.800000001</v>
      </c>
      <c r="M39" s="39">
        <f>'T10'!K39</f>
        <v>13847200</v>
      </c>
      <c r="N39" s="38">
        <f>'T11'!K39</f>
        <v>15373612.473999999</v>
      </c>
      <c r="O39" s="38">
        <f>'T12'!K39</f>
        <v>15416961.855999999</v>
      </c>
      <c r="P39" s="40">
        <f>'T1'!O39+'T2'!O39+'T3'!O39+'T4'!O39+'T5'!O39+'T6'!O39+'T7'!O39+'T8'!O39+'T9'!O39+'T10'!O39+'T11'!O39+'T12'!O39</f>
        <v>3458910</v>
      </c>
      <c r="Q39" s="61">
        <f t="shared" ref="Q39:Q42" si="13">SUM(D39:O39)-P39</f>
        <v>72935704.686000004</v>
      </c>
      <c r="R39" s="42"/>
      <c r="S39" s="70">
        <f>'T1'!V39+'T2'!V39+'T3'!V39+'T4'!V39+'T5'!V39+'T6'!V39+'T7'!V39+'T8'!V39+'T9'!V39+'T10'!V39+'T11'!V39+'T12'!V39</f>
        <v>72744614.686000004</v>
      </c>
      <c r="T39" s="71">
        <f>'T1'!W39+'T2'!W39+'T3'!W39+'T4'!W39+'T5'!W39+'T6'!W39+'T7'!W39+'T8'!W39+'T9'!W39+'T10'!W39+'T11'!W39+'T12'!W39</f>
        <v>55000000</v>
      </c>
      <c r="U39" s="71">
        <f>'T1'!X39+'T2'!X39+'T3'!X39+'T4'!X39+'T5'!X39+'T6'!X39+'T7'!X39+'T8'!X39+'T9'!X39+'T10'!X39+'T11'!X39+'T12'!X39</f>
        <v>0</v>
      </c>
      <c r="V39" s="71">
        <f>'T1'!Y39+'T2'!Y39+'T3'!Y39+'T4'!Y39+'T5'!Y39+'T6'!Y39+'T7'!Y39+'T8'!Y39+'T9'!Y39+'T10'!Y39+'T11'!Y39+'T12'!Y39</f>
        <v>14285704.686000001</v>
      </c>
      <c r="W39" s="71">
        <f>'T1'!Z39+'T2'!Z39+'T3'!Z39+'T4'!Z39+'T5'!Z39+'T6'!Z39+'T7'!Z39+'T8'!Z39+'T9'!Z39+'T10'!Z39+'T11'!Z39+'T12'!Z39</f>
        <v>714286</v>
      </c>
      <c r="X39" s="71">
        <f t="shared" ref="X39:X42" si="14">MAX(S39-T39-U39-P39,0)</f>
        <v>14285704.686000004</v>
      </c>
      <c r="Y39" s="71">
        <f>'T1'!AB39+'T2'!AB39+'T3'!AB39+'T4'!AB39+'T5'!AB39+'T6'!AB39+'T7'!AB39+'T8'!AB39+'T9'!AB39+'T10'!AB39+'T11'!AB39+'T12'!AB39</f>
        <v>0</v>
      </c>
    </row>
    <row r="40" spans="1:25" s="26" customFormat="1" ht="21.75" customHeight="1" x14ac:dyDescent="0.25">
      <c r="A40" s="29">
        <v>25</v>
      </c>
      <c r="B40" s="30" t="s">
        <v>149</v>
      </c>
      <c r="C40" s="31" t="s">
        <v>29</v>
      </c>
      <c r="D40" s="32">
        <f>'T1'!K40</f>
        <v>0</v>
      </c>
      <c r="E40" s="58">
        <f>'T2'!K40</f>
        <v>0</v>
      </c>
      <c r="F40" s="34">
        <f>'T3'!K40</f>
        <v>0</v>
      </c>
      <c r="G40" s="34">
        <f>'T4'!K40</f>
        <v>0</v>
      </c>
      <c r="H40" s="35">
        <f>'T5'!K40</f>
        <v>0</v>
      </c>
      <c r="I40" s="35">
        <f>'T6'!K40</f>
        <v>0</v>
      </c>
      <c r="J40" s="34">
        <f>'T7'!K40</f>
        <v>0</v>
      </c>
      <c r="K40" s="37">
        <f>'T8'!K40</f>
        <v>16987101.556000002</v>
      </c>
      <c r="L40" s="38">
        <f>'T9'!K40</f>
        <v>14769738.800000001</v>
      </c>
      <c r="M40" s="39">
        <f>'T10'!K40</f>
        <v>13847200</v>
      </c>
      <c r="N40" s="38">
        <f>'T11'!K40</f>
        <v>15373612.473999999</v>
      </c>
      <c r="O40" s="38">
        <f>'T12'!K40</f>
        <v>15416961.855999999</v>
      </c>
      <c r="P40" s="40">
        <f>'T1'!O40+'T2'!O40+'T3'!O40+'T4'!O40+'T5'!O40+'T6'!O40+'T7'!O40+'T8'!O40+'T9'!O40+'T10'!O40+'T11'!O40+'T12'!O40</f>
        <v>3458910</v>
      </c>
      <c r="Q40" s="61">
        <f t="shared" si="13"/>
        <v>72935704.686000004</v>
      </c>
      <c r="R40" s="42"/>
      <c r="S40" s="70">
        <f>'T1'!V40+'T2'!V40+'T3'!V40+'T4'!V40+'T5'!V40+'T6'!V40+'T7'!V40+'T8'!V40+'T9'!V40+'T10'!V40+'T11'!V40+'T12'!V40</f>
        <v>72744614.686000004</v>
      </c>
      <c r="T40" s="71">
        <f>'T1'!W40+'T2'!W40+'T3'!W40+'T4'!W40+'T5'!W40+'T6'!W40+'T7'!W40+'T8'!W40+'T9'!W40+'T10'!W40+'T11'!W40+'T12'!W40</f>
        <v>55000000</v>
      </c>
      <c r="U40" s="71">
        <f>'T1'!X40+'T2'!X40+'T3'!X40+'T4'!X40+'T5'!X40+'T6'!X40+'T7'!X40+'T8'!X40+'T9'!X40+'T10'!X40+'T11'!X40+'T12'!X40</f>
        <v>0</v>
      </c>
      <c r="V40" s="71">
        <f>'T1'!Y40+'T2'!Y40+'T3'!Y40+'T4'!Y40+'T5'!Y40+'T6'!Y40+'T7'!Y40+'T8'!Y40+'T9'!Y40+'T10'!Y40+'T11'!Y40+'T12'!Y40</f>
        <v>14285704.686000001</v>
      </c>
      <c r="W40" s="71">
        <f>'T1'!Z40+'T2'!Z40+'T3'!Z40+'T4'!Z40+'T5'!Z40+'T6'!Z40+'T7'!Z40+'T8'!Z40+'T9'!Z40+'T10'!Z40+'T11'!Z40+'T12'!Z40</f>
        <v>714286</v>
      </c>
      <c r="X40" s="71">
        <f t="shared" si="14"/>
        <v>14285704.686000004</v>
      </c>
      <c r="Y40" s="71">
        <f>'T1'!AB40+'T2'!AB40+'T3'!AB40+'T4'!AB40+'T5'!AB40+'T6'!AB40+'T7'!AB40+'T8'!AB40+'T9'!AB40+'T10'!AB40+'T11'!AB40+'T12'!AB40</f>
        <v>0</v>
      </c>
    </row>
    <row r="41" spans="1:25" s="26" customFormat="1" ht="21.75" customHeight="1" x14ac:dyDescent="0.25">
      <c r="A41" s="29">
        <v>25</v>
      </c>
      <c r="B41" s="63" t="s">
        <v>155</v>
      </c>
      <c r="C41" s="31" t="s">
        <v>30</v>
      </c>
      <c r="D41" s="32">
        <f>'T1'!K41</f>
        <v>0</v>
      </c>
      <c r="E41" s="58">
        <f>'T2'!K41</f>
        <v>0</v>
      </c>
      <c r="F41" s="34">
        <f>'T3'!K41</f>
        <v>0</v>
      </c>
      <c r="G41" s="34">
        <f>'T4'!K41</f>
        <v>0</v>
      </c>
      <c r="H41" s="35">
        <f>'T5'!K41</f>
        <v>0</v>
      </c>
      <c r="I41" s="35">
        <f>'T6'!K41</f>
        <v>0</v>
      </c>
      <c r="J41" s="34">
        <f>'T7'!K41</f>
        <v>0</v>
      </c>
      <c r="K41" s="37">
        <f>'T8'!K41</f>
        <v>0</v>
      </c>
      <c r="L41" s="38">
        <f>'T9'!K41</f>
        <v>18221502.620000001</v>
      </c>
      <c r="M41" s="39">
        <f>'T10'!K41</f>
        <v>15921267.988</v>
      </c>
      <c r="N41" s="38">
        <f>'T11'!K41</f>
        <v>17599708.177999999</v>
      </c>
      <c r="O41" s="38">
        <f>'T12'!K41</f>
        <v>17469773.017999999</v>
      </c>
      <c r="P41" s="40">
        <f>'T1'!O41+'T2'!O41+'T3'!O41+'T4'!O41+'T5'!O41+'T6'!O41+'T7'!O41+'T8'!O41+'T9'!O41+'T10'!O41+'T11'!O41+'T12'!O41</f>
        <v>2413320</v>
      </c>
      <c r="Q41" s="61">
        <f t="shared" si="13"/>
        <v>66798931.80399999</v>
      </c>
      <c r="R41" s="42"/>
      <c r="S41" s="70">
        <f>'T1'!V41+'T2'!V41+'T3'!V41+'T4'!V41+'T5'!V41+'T6'!V41+'T7'!V41+'T8'!V41+'T9'!V41+'T10'!V41+'T11'!V41+'T12'!V41</f>
        <v>66292251.803999998</v>
      </c>
      <c r="T41" s="71">
        <f>'T1'!W41+'T2'!W41+'T3'!W41+'T4'!W41+'T5'!W41+'T6'!W41+'T7'!W41+'T8'!W41+'T9'!W41+'T10'!W41+'T11'!W41+'T12'!W41</f>
        <v>44000000</v>
      </c>
      <c r="U41" s="71">
        <f>'T1'!X41+'T2'!X41+'T3'!X41+'T4'!X41+'T5'!X41+'T6'!X41+'T7'!X41+'T8'!X41+'T9'!X41+'T10'!X41+'T11'!X41+'T12'!X41</f>
        <v>0</v>
      </c>
      <c r="V41" s="71">
        <f>'T1'!Y41+'T2'!Y41+'T3'!Y41+'T4'!Y41+'T5'!Y41+'T6'!Y41+'T7'!Y41+'T8'!Y41+'T9'!Y41+'T10'!Y41+'T11'!Y41+'T12'!Y41</f>
        <v>19878931.803999998</v>
      </c>
      <c r="W41" s="71">
        <f>'T1'!Z41+'T2'!Z41+'T3'!Z41+'T4'!Z41+'T5'!Z41+'T6'!Z41+'T7'!Z41+'T8'!Z41+'T9'!Z41+'T10'!Z41+'T11'!Z41+'T12'!Z41</f>
        <v>1058496</v>
      </c>
      <c r="X41" s="71">
        <f t="shared" si="14"/>
        <v>19878931.803999998</v>
      </c>
      <c r="Y41" s="71">
        <f>'T1'!AB41+'T2'!AB41+'T3'!AB41+'T4'!AB41+'T5'!AB41+'T6'!AB41+'T7'!AB41+'T8'!AB41+'T9'!AB41+'T10'!AB41+'T11'!AB41+'T12'!AB41</f>
        <v>0</v>
      </c>
    </row>
    <row r="42" spans="1:25" s="26" customFormat="1" ht="21.75" customHeight="1" x14ac:dyDescent="0.25">
      <c r="A42" s="29">
        <v>25</v>
      </c>
      <c r="B42" s="30" t="s">
        <v>156</v>
      </c>
      <c r="C42" s="31" t="s">
        <v>136</v>
      </c>
      <c r="D42" s="32">
        <f>'T1'!K42</f>
        <v>0</v>
      </c>
      <c r="E42" s="58">
        <f>'T2'!K42</f>
        <v>0</v>
      </c>
      <c r="F42" s="34">
        <f>'T3'!K42</f>
        <v>0</v>
      </c>
      <c r="G42" s="34">
        <f>'T4'!K42</f>
        <v>0</v>
      </c>
      <c r="H42" s="35">
        <f>'T5'!K42</f>
        <v>0</v>
      </c>
      <c r="I42" s="35">
        <f>'T6'!K42</f>
        <v>0</v>
      </c>
      <c r="J42" s="34">
        <f>'T7'!K42</f>
        <v>0</v>
      </c>
      <c r="K42" s="37">
        <f>'T8'!K42</f>
        <v>0</v>
      </c>
      <c r="L42" s="38">
        <f>'T9'!K42</f>
        <v>20000000</v>
      </c>
      <c r="M42" s="39">
        <f>'T10'!K42</f>
        <v>20000000</v>
      </c>
      <c r="N42" s="38">
        <f>'T11'!K42</f>
        <v>20000000</v>
      </c>
      <c r="O42" s="38">
        <f>'T12'!K42</f>
        <v>20000000</v>
      </c>
      <c r="P42" s="40">
        <f>'T1'!O42+'T2'!O42+'T3'!O42+'T4'!O42+'T5'!O42+'T6'!O42+'T7'!O42+'T8'!O42+'T9'!O42+'T10'!O42+'T11'!O42+'T12'!O42</f>
        <v>0</v>
      </c>
      <c r="Q42" s="61">
        <f t="shared" si="13"/>
        <v>80000000</v>
      </c>
      <c r="R42" s="42"/>
      <c r="S42" s="70">
        <f>'T1'!V42+'T2'!V42+'T3'!V42+'T4'!V42+'T5'!V42+'T6'!V42+'T7'!V42+'T8'!V42+'T9'!V42+'T10'!V42+'T11'!V42+'T12'!V42</f>
        <v>80000000</v>
      </c>
      <c r="T42" s="71">
        <f>'T1'!W42+'T2'!W42+'T3'!W42+'T4'!W42+'T5'!W42+'T6'!W42+'T7'!W42+'T8'!W42+'T9'!W42+'T10'!W42+'T11'!W42+'T12'!W42</f>
        <v>0</v>
      </c>
      <c r="U42" s="71">
        <f>'T1'!X42+'T2'!X42+'T3'!X42+'T4'!X42+'T5'!X42+'T6'!X42+'T7'!X42+'T8'!X42+'T9'!X42+'T10'!X42+'T11'!X42+'T12'!X42</f>
        <v>0</v>
      </c>
      <c r="V42" s="71">
        <f>'T1'!Y42+'T2'!Y42+'T3'!Y42+'T4'!Y42+'T5'!Y42+'T6'!Y42+'T7'!Y42+'T8'!Y42+'T9'!Y42+'T10'!Y42+'T11'!Y42+'T12'!Y42</f>
        <v>80000000</v>
      </c>
      <c r="W42" s="71">
        <f>'T1'!Z42+'T2'!Z42+'T3'!Z42+'T4'!Z42+'T5'!Z42+'T6'!Z42+'T7'!Z42+'T8'!Z42+'T9'!Z42+'T10'!Z42+'T11'!Z42+'T12'!Z42</f>
        <v>6000000</v>
      </c>
      <c r="X42" s="71">
        <f t="shared" si="14"/>
        <v>80000000</v>
      </c>
      <c r="Y42" s="71">
        <f>'T1'!AB42+'T2'!AB42+'T3'!AB42+'T4'!AB42+'T5'!AB42+'T6'!AB42+'T7'!AB42+'T8'!AB42+'T9'!AB42+'T10'!AB42+'T11'!AB42+'T12'!AB42</f>
        <v>0</v>
      </c>
    </row>
    <row r="43" spans="1:25" s="53" customFormat="1" ht="21.75" customHeight="1" x14ac:dyDescent="0.25">
      <c r="A43" s="92" t="s">
        <v>38</v>
      </c>
      <c r="B43" s="93"/>
      <c r="C43" s="94"/>
      <c r="D43" s="50">
        <f>SUM(D44:D51)</f>
        <v>67117600</v>
      </c>
      <c r="E43" s="50">
        <f t="shared" ref="E43:Q43" si="15">SUM(E44:E51)</f>
        <v>67117600</v>
      </c>
      <c r="F43" s="50">
        <f t="shared" si="15"/>
        <v>52464600</v>
      </c>
      <c r="G43" s="50">
        <f t="shared" si="15"/>
        <v>63293000</v>
      </c>
      <c r="H43" s="50">
        <f t="shared" si="15"/>
        <v>63293000</v>
      </c>
      <c r="I43" s="50">
        <f t="shared" si="15"/>
        <v>74121400</v>
      </c>
      <c r="J43" s="50">
        <f t="shared" si="15"/>
        <v>74121400</v>
      </c>
      <c r="K43" s="50">
        <f t="shared" si="15"/>
        <v>63293000</v>
      </c>
      <c r="L43" s="50">
        <f t="shared" si="15"/>
        <v>63293000</v>
      </c>
      <c r="M43" s="50">
        <f t="shared" si="15"/>
        <v>115757600</v>
      </c>
      <c r="N43" s="50">
        <f t="shared" si="15"/>
        <v>125990600</v>
      </c>
      <c r="O43" s="50">
        <f t="shared" si="15"/>
        <v>115757600</v>
      </c>
      <c r="P43" s="50">
        <f t="shared" si="15"/>
        <v>57385959</v>
      </c>
      <c r="Q43" s="50">
        <f t="shared" si="15"/>
        <v>888234441</v>
      </c>
      <c r="R43" s="50"/>
      <c r="S43" s="50">
        <f t="shared" ref="S43" si="16">SUM(S44:S51)</f>
        <v>860453600</v>
      </c>
      <c r="T43" s="50">
        <f t="shared" ref="T43" si="17">SUM(T44:T51)</f>
        <v>957000000</v>
      </c>
      <c r="U43" s="50">
        <f t="shared" ref="U43" si="18">SUM(U44:U51)</f>
        <v>66000000</v>
      </c>
      <c r="V43" s="50">
        <f t="shared" ref="V43" si="19">SUM(V44:V51)</f>
        <v>3738986</v>
      </c>
      <c r="W43" s="50">
        <f>SUM(W44:W51)</f>
        <v>186950</v>
      </c>
      <c r="X43" s="50">
        <f>SUM(X44:X51)</f>
        <v>0</v>
      </c>
      <c r="Y43" s="50">
        <f>SUM(Y44:Y51)</f>
        <v>0</v>
      </c>
    </row>
    <row r="44" spans="1:25" s="26" customFormat="1" ht="21.75" customHeight="1" x14ac:dyDescent="0.25">
      <c r="A44" s="29">
        <v>26</v>
      </c>
      <c r="B44" s="30" t="s">
        <v>42</v>
      </c>
      <c r="C44" s="31" t="s">
        <v>41</v>
      </c>
      <c r="D44" s="32">
        <f>'T1'!K44</f>
        <v>10032400</v>
      </c>
      <c r="E44" s="58">
        <f>'T2'!K44</f>
        <v>10032400</v>
      </c>
      <c r="F44" s="34">
        <f>'T3'!K44</f>
        <v>10032400</v>
      </c>
      <c r="G44" s="34">
        <f>'T4'!K44</f>
        <v>10032400</v>
      </c>
      <c r="H44" s="35">
        <f>'T5'!K44</f>
        <v>10032400</v>
      </c>
      <c r="I44" s="35">
        <f>'T6'!K44</f>
        <v>10032400</v>
      </c>
      <c r="J44" s="34">
        <f>'T7'!K44</f>
        <v>10032400</v>
      </c>
      <c r="K44" s="37">
        <f>'T8'!K44</f>
        <v>10032400</v>
      </c>
      <c r="L44" s="38">
        <f>'T9'!K44</f>
        <v>10032400</v>
      </c>
      <c r="M44" s="39">
        <f>'T10'!K43</f>
        <v>63293000</v>
      </c>
      <c r="N44" s="38">
        <f>'T11'!K43</f>
        <v>73526000</v>
      </c>
      <c r="O44" s="38">
        <f>'T12'!K43</f>
        <v>63293000</v>
      </c>
      <c r="P44" s="40">
        <f>'T1'!O44+'T2'!O44+'T3'!O44+'T4'!O44+'T5'!O44+'T6'!O44+'T7'!O44+'T8'!O44+'T9'!O44+'T10'!O43+'T11'!O43+'T12'!O43</f>
        <v>17258829</v>
      </c>
      <c r="Q44" s="61">
        <f>SUM(D44:O44)-P44</f>
        <v>273144771</v>
      </c>
      <c r="R44" s="42"/>
      <c r="S44" s="70">
        <f>'T1'!V44+'T2'!V44+'T3'!V44+'T4'!V44+'T5'!V44+'T6'!V44+'T7'!V44+'T8'!V44+'T9'!V44+'T10'!V43+'T11'!V43+'T12'!V43</f>
        <v>249766800</v>
      </c>
      <c r="T44" s="71">
        <f>'T1'!W44+'T2'!W44+'T3'!W44+'T4'!W44+'T5'!W44+'T6'!W44+'T7'!W44+'T8'!W44+'T9'!W44+'T10'!W43+'T11'!W43+'T12'!W43</f>
        <v>286000000</v>
      </c>
      <c r="U44" s="71">
        <f>'T1'!X44+'T2'!X44+'T3'!X44+'T4'!X44+'T5'!X44+'T6'!X44+'T7'!X44+'T8'!X44+'T9'!X44+'T10'!X43+'T11'!X43+'T12'!X43</f>
        <v>13200000</v>
      </c>
      <c r="V44" s="71">
        <f>'T1'!Y44+'T2'!Y44+'T3'!Y44+'T4'!Y44+'T5'!Y44+'T6'!Y44+'T7'!Y44+'T8'!Y44+'T9'!Y44+'T10'!Y43+'T11'!Y43+'T12'!Y43</f>
        <v>0</v>
      </c>
      <c r="W44" s="71">
        <f>'T1'!Z44+'T2'!Z44+'T3'!Z44+'T4'!Z44+'T5'!Z44+'T6'!Z44+'T7'!Z44+'T8'!Z44+'T9'!Z44+'T10'!Z43+'T11'!Z43+'T12'!Z43</f>
        <v>0</v>
      </c>
      <c r="X44" s="71">
        <f t="shared" si="11"/>
        <v>0</v>
      </c>
      <c r="Y44" s="71">
        <f>'T1'!AB44+'T2'!AB44+'T3'!AB44+'T4'!AB44+'T5'!AB44+'T6'!AB44+'T7'!AB44+'T8'!AB44+'T9'!AB44+'T10'!AB43+'T11'!AB43+'T12'!AB43</f>
        <v>0</v>
      </c>
    </row>
    <row r="45" spans="1:25" s="26" customFormat="1" ht="21.75" customHeight="1" x14ac:dyDescent="0.2">
      <c r="A45" s="29">
        <v>27</v>
      </c>
      <c r="B45" s="30" t="s">
        <v>79</v>
      </c>
      <c r="C45" s="31" t="s">
        <v>40</v>
      </c>
      <c r="D45" s="32">
        <f>'T1'!K45</f>
        <v>10542400</v>
      </c>
      <c r="E45" s="58">
        <f>'T2'!K45</f>
        <v>10542400</v>
      </c>
      <c r="F45" s="34">
        <f>'T3'!K45</f>
        <v>10542400</v>
      </c>
      <c r="G45" s="34">
        <f>'T4'!K45</f>
        <v>10542400</v>
      </c>
      <c r="H45" s="35">
        <f>'T5'!K45</f>
        <v>10542400</v>
      </c>
      <c r="I45" s="35">
        <f>'T6'!K45</f>
        <v>10542400</v>
      </c>
      <c r="J45" s="34">
        <f>'T7'!K45</f>
        <v>10542400</v>
      </c>
      <c r="K45" s="37">
        <f>'T8'!K45</f>
        <v>10542400</v>
      </c>
      <c r="L45" s="38">
        <f>'T9'!K45</f>
        <v>10542400</v>
      </c>
      <c r="M45" s="39">
        <f>'T10'!K44</f>
        <v>10032400</v>
      </c>
      <c r="N45" s="38">
        <f>'T11'!K44</f>
        <v>10032400</v>
      </c>
      <c r="O45" s="38">
        <f>'T12'!K44</f>
        <v>10032400</v>
      </c>
      <c r="P45" s="40">
        <f>'T1'!O45+'T2'!O45+'T3'!O45+'T4'!O45+'T5'!O45+'T6'!O45+'T7'!O45+'T8'!O45+'T9'!O45+'T10'!O44+'T11'!O44+'T12'!O44</f>
        <v>7469154</v>
      </c>
      <c r="Q45" s="61">
        <f t="shared" ref="Q45:Q51" si="20">SUM(D45:O45)-P45</f>
        <v>117509646</v>
      </c>
      <c r="R45" s="49"/>
      <c r="S45" s="70">
        <f>'T1'!V45+'T2'!V45+'T3'!V45+'T4'!V45+'T5'!V45+'T6'!V45+'T7'!V45+'T8'!V45+'T9'!V45+'T10'!V44+'T11'!V44+'T12'!V44</f>
        <v>116218800</v>
      </c>
      <c r="T45" s="71">
        <f>'T1'!W45+'T2'!W45+'T3'!W45+'T4'!W45+'T5'!W45+'T6'!W45+'T7'!W45+'T8'!W45+'T9'!W45+'T10'!W44+'T11'!W44+'T12'!W44</f>
        <v>132000000</v>
      </c>
      <c r="U45" s="71">
        <f>'T1'!X45+'T2'!X45+'T3'!X45+'T4'!X45+'T5'!X45+'T6'!X45+'T7'!X45+'T8'!X45+'T9'!X45+'T10'!X44+'T11'!X44+'T12'!X44</f>
        <v>39600000</v>
      </c>
      <c r="V45" s="71">
        <f>'T1'!Y45+'T2'!Y45+'T3'!Y45+'T4'!Y45+'T5'!Y45+'T6'!Y45+'T7'!Y45+'T8'!Y45+'T9'!Y45+'T10'!Y44+'T11'!Y44+'T12'!Y44</f>
        <v>0</v>
      </c>
      <c r="W45" s="71">
        <f>'T1'!Z45+'T2'!Z45+'T3'!Z45+'T4'!Z45+'T5'!Z45+'T6'!Z45+'T7'!Z45+'T8'!Z45+'T9'!Z45+'T10'!Z44+'T11'!Z44+'T12'!Z44</f>
        <v>0</v>
      </c>
      <c r="X45" s="71">
        <f t="shared" si="11"/>
        <v>0</v>
      </c>
      <c r="Y45" s="71">
        <f>'T1'!AB45+'T2'!AB45+'T3'!AB45+'T4'!AB45+'T5'!AB45+'T6'!AB45+'T7'!AB45+'T8'!AB45+'T9'!AB45+'T10'!AB44+'T11'!AB44+'T12'!AB44</f>
        <v>0</v>
      </c>
    </row>
    <row r="46" spans="1:25" s="26" customFormat="1" ht="17.25" customHeight="1" x14ac:dyDescent="0.25">
      <c r="A46" s="29">
        <v>28</v>
      </c>
      <c r="B46" s="30" t="s">
        <v>81</v>
      </c>
      <c r="C46" s="31" t="s">
        <v>41</v>
      </c>
      <c r="D46" s="32">
        <f>'T1'!K46</f>
        <v>10233000</v>
      </c>
      <c r="E46" s="58">
        <f>'T2'!K46</f>
        <v>10233000</v>
      </c>
      <c r="F46" s="34">
        <f>'T3'!K46</f>
        <v>10233000</v>
      </c>
      <c r="G46" s="34">
        <f>'T4'!K46</f>
        <v>10233000</v>
      </c>
      <c r="H46" s="35">
        <f>'T5'!K46</f>
        <v>10233000</v>
      </c>
      <c r="I46" s="35">
        <f>'T6'!K46</f>
        <v>10233000</v>
      </c>
      <c r="J46" s="34">
        <f>'T7'!K46</f>
        <v>10233000</v>
      </c>
      <c r="K46" s="37">
        <f>'T8'!K46</f>
        <v>10233000</v>
      </c>
      <c r="L46" s="38">
        <f>'T9'!K46</f>
        <v>10233000</v>
      </c>
      <c r="M46" s="39">
        <f>'T10'!K45</f>
        <v>10542400</v>
      </c>
      <c r="N46" s="38">
        <f>'T11'!K46</f>
        <v>10542400</v>
      </c>
      <c r="O46" s="38">
        <f>'T12'!K45</f>
        <v>10542400</v>
      </c>
      <c r="P46" s="40">
        <f>'T1'!O46+'T2'!O46+'T3'!O46+'T4'!O46+'T5'!O46+'T6'!O46+'T7'!O46+'T8'!O46+'T9'!O46+'T10'!O45+'T11'!O46+'T12'!O45</f>
        <v>7337421</v>
      </c>
      <c r="Q46" s="61">
        <f t="shared" si="20"/>
        <v>116386779</v>
      </c>
      <c r="R46" s="42"/>
      <c r="S46" s="70">
        <f>'T1'!V46+'T2'!V46+'T3'!V46+'T4'!V46+'T5'!V46+'T6'!V46+'T7'!V46+'T8'!V46+'T9'!V46+'T10'!V45+'T11'!V46+'T12'!V45</f>
        <v>114964200</v>
      </c>
      <c r="T46" s="71">
        <f>'T1'!W46+'T2'!W46+'T3'!W46+'T4'!W46+'T5'!W46+'T6'!W46+'T7'!W46+'T8'!W46+'T9'!W46+'T10'!W45+'T11'!W46+'T12'!W45</f>
        <v>132000000</v>
      </c>
      <c r="U46" s="71">
        <f>'T1'!X46+'T2'!X46+'T3'!X46+'T4'!X46+'T5'!X46+'T6'!X46+'T7'!X46+'T8'!X46+'T9'!X46+'T10'!X45+'T11'!X46+'T12'!X45</f>
        <v>13200000</v>
      </c>
      <c r="V46" s="71">
        <f>'T1'!Y46+'T2'!Y46+'T3'!Y46+'T4'!Y46+'T5'!Y46+'T6'!Y46+'T7'!Y46+'T8'!Y46+'T9'!Y46+'T10'!Y45+'T11'!Y46+'T12'!Y45</f>
        <v>0</v>
      </c>
      <c r="W46" s="71">
        <f>'T1'!Z46+'T2'!Z46+'T3'!Z46+'T4'!Z46+'T5'!Z46+'T6'!Z46+'T7'!Z46+'T8'!Z46+'T9'!Z46+'T10'!Z45+'T11'!Z46+'T12'!Z45</f>
        <v>0</v>
      </c>
      <c r="X46" s="71">
        <f t="shared" si="11"/>
        <v>0</v>
      </c>
      <c r="Y46" s="71">
        <f>'T1'!AB46+'T2'!AB46+'T3'!AB46+'T4'!AB46+'T5'!AB46+'T6'!AB46+'T7'!AB46+'T8'!AB46+'T9'!AB46+'T10'!AB45+'T11'!AB46+'T12'!AB45</f>
        <v>0</v>
      </c>
    </row>
    <row r="47" spans="1:25" s="26" customFormat="1" ht="17.25" customHeight="1" x14ac:dyDescent="0.25">
      <c r="A47" s="29">
        <v>29</v>
      </c>
      <c r="B47" s="30" t="s">
        <v>100</v>
      </c>
      <c r="C47" s="31" t="s">
        <v>117</v>
      </c>
      <c r="D47" s="32">
        <f>'T1'!K47</f>
        <v>14653000</v>
      </c>
      <c r="E47" s="58">
        <f>'T2'!K47</f>
        <v>14653000</v>
      </c>
      <c r="F47" s="34">
        <f>'T3'!K47</f>
        <v>0</v>
      </c>
      <c r="G47" s="34">
        <f>'T4'!K47</f>
        <v>0</v>
      </c>
      <c r="H47" s="35">
        <f>'T5'!K47</f>
        <v>0</v>
      </c>
      <c r="I47" s="35">
        <f>'T6'!K47</f>
        <v>0</v>
      </c>
      <c r="J47" s="34">
        <f>'T7'!K47</f>
        <v>0</v>
      </c>
      <c r="K47" s="37">
        <f>'T8'!K47</f>
        <v>0</v>
      </c>
      <c r="L47" s="38">
        <f>'T9'!K47</f>
        <v>0</v>
      </c>
      <c r="M47" s="39">
        <f>'T10'!K46</f>
        <v>10233000</v>
      </c>
      <c r="N47" s="38">
        <f>'T11'!K47</f>
        <v>10233000</v>
      </c>
      <c r="O47" s="38">
        <f>'T12'!K46</f>
        <v>10233000</v>
      </c>
      <c r="P47" s="40">
        <f>'T1'!O47+'T2'!O47+'T3'!O47+'T4'!O47+'T5'!O47+'T6'!O47+'T7'!O47+'T8'!O47+'T9'!O47+'T10'!O46+'T11'!O47+'T12'!O46</f>
        <v>4067505</v>
      </c>
      <c r="Q47" s="61">
        <f t="shared" si="20"/>
        <v>55937495</v>
      </c>
      <c r="R47" s="42"/>
      <c r="S47" s="70">
        <f>'T1'!V47+'T2'!V47+'T3'!V47+'T4'!V47+'T5'!V47+'T6'!V47+'T7'!V47+'T8'!V47+'T9'!V47+'T10'!V46+'T11'!V47+'T12'!V46</f>
        <v>56355000</v>
      </c>
      <c r="T47" s="71">
        <f>'T1'!W47+'T2'!W47+'T3'!W47+'T4'!W47+'T5'!W47+'T6'!W47+'T7'!W47+'T8'!W47+'T9'!W47+'T10'!W46+'T11'!W47+'T12'!W46</f>
        <v>55000000</v>
      </c>
      <c r="U47" s="71">
        <f>'T1'!X47+'T2'!X47+'T3'!X47+'T4'!X47+'T5'!X47+'T6'!X47+'T7'!X47+'T8'!X47+'T9'!X47+'T10'!X46+'T11'!X47+'T12'!X46</f>
        <v>0</v>
      </c>
      <c r="V47" s="71">
        <f>'T1'!Y47+'T2'!Y47+'T3'!Y47+'T4'!Y47+'T5'!Y47+'T6'!Y47+'T7'!Y47+'T8'!Y47+'T9'!Y47+'T10'!Y46+'T11'!Y47+'T12'!Y46</f>
        <v>3738986</v>
      </c>
      <c r="W47" s="71">
        <f>'T1'!Z47+'T2'!Z47+'T3'!Z47+'T4'!Z47+'T5'!Z47+'T6'!Z47+'T7'!Z47+'T8'!Z47+'T9'!Z47+'T10'!Z46+'T11'!Z47+'T12'!Z46</f>
        <v>186950</v>
      </c>
      <c r="X47" s="71">
        <f t="shared" si="11"/>
        <v>0</v>
      </c>
      <c r="Y47" s="71">
        <f>'T1'!AB47+'T2'!AB47+'T3'!AB47+'T4'!AB47+'T5'!AB47+'T6'!AB47+'T7'!AB47+'T8'!AB47+'T9'!AB47+'T10'!AB46+'T11'!AB47+'T12'!AB46</f>
        <v>0</v>
      </c>
    </row>
    <row r="48" spans="1:25" s="26" customFormat="1" ht="17.25" customHeight="1" x14ac:dyDescent="0.25">
      <c r="A48" s="29">
        <v>30</v>
      </c>
      <c r="B48" s="64" t="s">
        <v>105</v>
      </c>
      <c r="C48" s="31" t="s">
        <v>40</v>
      </c>
      <c r="D48" s="32">
        <f>'T1'!K48</f>
        <v>10828400</v>
      </c>
      <c r="E48" s="58">
        <f>'T2'!K48</f>
        <v>10828400</v>
      </c>
      <c r="F48" s="34">
        <f>'T3'!K48</f>
        <v>10828400</v>
      </c>
      <c r="G48" s="34">
        <f>'T4'!K48</f>
        <v>10828400</v>
      </c>
      <c r="H48" s="35">
        <f>'T5'!K48</f>
        <v>10828400</v>
      </c>
      <c r="I48" s="35">
        <f>'T6'!K48</f>
        <v>10828400</v>
      </c>
      <c r="J48" s="34">
        <f>'T7'!K48</f>
        <v>10828400</v>
      </c>
      <c r="K48" s="37">
        <f>'T8'!K48</f>
        <v>10828400</v>
      </c>
      <c r="L48" s="38">
        <f>'T9'!K48</f>
        <v>10828400</v>
      </c>
      <c r="M48" s="39">
        <f>'T10'!K47</f>
        <v>0</v>
      </c>
      <c r="N48" s="38">
        <f>'T11'!K48</f>
        <v>0</v>
      </c>
      <c r="O48" s="38">
        <f>'T12'!K47</f>
        <v>0</v>
      </c>
      <c r="P48" s="40">
        <f>'T1'!O48+'T2'!O48+'T3'!O48+'T4'!O48+'T5'!O48+'T6'!O48+'T7'!O48+'T8'!O48+'T9'!O48+'T10'!O47+'T11'!O48+'T12'!O47</f>
        <v>5950854</v>
      </c>
      <c r="Q48" s="61">
        <f t="shared" si="20"/>
        <v>91504746</v>
      </c>
      <c r="R48" s="42"/>
      <c r="S48" s="70">
        <f>'T1'!V48+'T2'!V48+'T3'!V48+'T4'!V48+'T5'!V48+'T6'!V48+'T7'!V48+'T8'!V48+'T9'!V48+'T10'!V47+'T11'!V48+'T12'!V47</f>
        <v>90885600</v>
      </c>
      <c r="T48" s="71">
        <f>'T1'!W48+'T2'!W48+'T3'!W48+'T4'!W48+'T5'!W48+'T6'!W48+'T7'!W48+'T8'!W48+'T9'!W48+'T10'!W47+'T11'!W48+'T12'!W47</f>
        <v>99000000</v>
      </c>
      <c r="U48" s="71">
        <f>'T1'!X48+'T2'!X48+'T3'!X48+'T4'!X48+'T5'!X48+'T6'!X48+'T7'!X48+'T8'!X48+'T9'!X48+'T10'!X47+'T11'!X48+'T12'!X47</f>
        <v>0</v>
      </c>
      <c r="V48" s="71">
        <f>'T1'!Y48+'T2'!Y48+'T3'!Y48+'T4'!Y48+'T5'!Y48+'T6'!Y48+'T7'!Y48+'T8'!Y48+'T9'!Y48+'T10'!Y47+'T11'!Y48+'T12'!Y47</f>
        <v>0</v>
      </c>
      <c r="W48" s="71">
        <f>'T1'!Z48+'T2'!Z48+'T3'!Z48+'T4'!Z48+'T5'!Z48+'T6'!Z48+'T7'!Z48+'T8'!Z48+'T9'!Z48+'T10'!Z47+'T11'!Z48+'T12'!Z47</f>
        <v>0</v>
      </c>
      <c r="X48" s="71">
        <f t="shared" si="11"/>
        <v>0</v>
      </c>
      <c r="Y48" s="71">
        <f>'T1'!AB48+'T2'!AB48+'T3'!AB48+'T4'!AB48+'T5'!AB48+'T6'!AB48+'T7'!AB48+'T8'!AB48+'T9'!AB48+'T10'!AB47+'T11'!AB48+'T12'!AB47</f>
        <v>0</v>
      </c>
    </row>
    <row r="49" spans="1:25" s="26" customFormat="1" ht="17.25" customHeight="1" x14ac:dyDescent="0.25">
      <c r="A49" s="29">
        <v>31</v>
      </c>
      <c r="B49" s="30" t="s">
        <v>106</v>
      </c>
      <c r="C49" s="31" t="s">
        <v>40</v>
      </c>
      <c r="D49" s="32">
        <f>'T1'!K49</f>
        <v>10828400</v>
      </c>
      <c r="E49" s="58">
        <f>'T2'!K49</f>
        <v>10828400</v>
      </c>
      <c r="F49" s="34">
        <f>'T3'!K49</f>
        <v>10828400</v>
      </c>
      <c r="G49" s="34">
        <f>'T4'!K49</f>
        <v>10828400</v>
      </c>
      <c r="H49" s="35">
        <f>'T5'!K49</f>
        <v>10828400</v>
      </c>
      <c r="I49" s="35">
        <f>'T6'!K49</f>
        <v>10828400</v>
      </c>
      <c r="J49" s="34">
        <f>'T7'!K49</f>
        <v>10828400</v>
      </c>
      <c r="K49" s="37">
        <f>'T8'!K49</f>
        <v>0</v>
      </c>
      <c r="L49" s="38">
        <f>'T9'!K49</f>
        <v>0</v>
      </c>
      <c r="M49" s="39">
        <f>'T10'!K48</f>
        <v>10828400</v>
      </c>
      <c r="N49" s="38">
        <f>'T11'!K49</f>
        <v>10828400</v>
      </c>
      <c r="O49" s="38">
        <f>'T12'!K48</f>
        <v>10828400</v>
      </c>
      <c r="P49" s="40">
        <f>'T1'!O49+'T2'!O49+'T3'!O49+'T4'!O49+'T5'!O49+'T6'!O49+'T7'!O49+'T8'!O49+'T9'!O49+'T10'!O48+'T11'!O49+'T12'!O48</f>
        <v>6706518</v>
      </c>
      <c r="Q49" s="61">
        <f t="shared" si="20"/>
        <v>101577482</v>
      </c>
      <c r="R49" s="42"/>
      <c r="S49" s="70">
        <f>'T1'!V49+'T2'!V49+'T3'!V49+'T4'!V49+'T5'!V49+'T6'!V49+'T7'!V49+'T8'!V49+'T9'!V49+'T10'!V48+'T11'!V49+'T12'!V48</f>
        <v>100984000</v>
      </c>
      <c r="T49" s="71">
        <f>'T1'!W49+'T2'!W49+'T3'!W49+'T4'!W49+'T5'!W49+'T6'!W49+'T7'!W49+'T8'!W49+'T9'!W49+'T10'!W48+'T11'!W49+'T12'!W48</f>
        <v>110000000</v>
      </c>
      <c r="U49" s="71">
        <f>'T1'!X49+'T2'!X49+'T3'!X49+'T4'!X49+'T5'!X49+'T6'!X49+'T7'!X49+'T8'!X49+'T9'!X49+'T10'!X48+'T11'!X49+'T12'!X48</f>
        <v>0</v>
      </c>
      <c r="V49" s="71">
        <f>'T1'!Y49+'T2'!Y49+'T3'!Y49+'T4'!Y49+'T5'!Y49+'T6'!Y49+'T7'!Y49+'T8'!Y49+'T9'!Y49+'T10'!Y48+'T11'!Y49+'T12'!Y48</f>
        <v>0</v>
      </c>
      <c r="W49" s="71">
        <f>'T1'!Z49+'T2'!Z49+'T3'!Z49+'T4'!Z49+'T5'!Z49+'T6'!Z49+'T7'!Z49+'T8'!Z49+'T9'!Z49+'T10'!Z48+'T11'!Z49+'T12'!Z48</f>
        <v>0</v>
      </c>
      <c r="X49" s="71">
        <f t="shared" si="11"/>
        <v>0</v>
      </c>
      <c r="Y49" s="71">
        <f>'T1'!AB49+'T2'!AB49+'T3'!AB49+'T4'!AB49+'T5'!AB49+'T6'!AB49+'T7'!AB49+'T8'!AB49+'T9'!AB49+'T10'!AB48+'T11'!AB49+'T12'!AB48</f>
        <v>0</v>
      </c>
    </row>
    <row r="50" spans="1:25" s="26" customFormat="1" ht="17.25" customHeight="1" x14ac:dyDescent="0.25">
      <c r="A50" s="29">
        <v>32</v>
      </c>
      <c r="B50" s="64" t="s">
        <v>124</v>
      </c>
      <c r="C50" s="31" t="s">
        <v>40</v>
      </c>
      <c r="D50" s="32">
        <f>'T1'!K50</f>
        <v>0</v>
      </c>
      <c r="E50" s="58">
        <f>'T2'!K50</f>
        <v>0</v>
      </c>
      <c r="F50" s="34">
        <f>'T3'!K50</f>
        <v>0</v>
      </c>
      <c r="G50" s="34">
        <f>'T4'!K50</f>
        <v>10828400</v>
      </c>
      <c r="H50" s="35">
        <f>'T5'!K50</f>
        <v>10828400</v>
      </c>
      <c r="I50" s="35">
        <f>'T6'!K50</f>
        <v>10828400</v>
      </c>
      <c r="J50" s="34">
        <f>'T7'!K50</f>
        <v>10828400</v>
      </c>
      <c r="K50" s="37">
        <f>'T8'!K50</f>
        <v>10828400</v>
      </c>
      <c r="L50" s="38">
        <f>'T9'!K50</f>
        <v>10828400</v>
      </c>
      <c r="M50" s="39">
        <f>'T10'!K49</f>
        <v>0</v>
      </c>
      <c r="N50" s="38">
        <f>'T11'!K50</f>
        <v>0</v>
      </c>
      <c r="O50" s="38">
        <f>'T12'!K49</f>
        <v>0</v>
      </c>
      <c r="P50" s="40">
        <f>'T1'!O50+'T2'!O50+'T3'!O50+'T4'!O50+'T5'!O50+'T6'!O50+'T7'!O50+'T8'!O50+'T9'!O50+'T10'!O49+'T11'!O50+'T12'!O49</f>
        <v>3967236</v>
      </c>
      <c r="Q50" s="61">
        <f t="shared" si="20"/>
        <v>61003164</v>
      </c>
      <c r="R50" s="42"/>
      <c r="S50" s="70">
        <f>'T1'!V50+'T2'!V50+'T3'!V50+'T4'!V50+'T5'!V50+'T6'!V50+'T7'!V50+'T8'!V50+'T9'!V50+'T10'!V49+'T11'!V50+'T12'!V49</f>
        <v>60590400</v>
      </c>
      <c r="T50" s="71">
        <f>'T1'!W50+'T2'!W50+'T3'!W50+'T4'!W50+'T5'!W50+'T6'!W50+'T7'!W50+'T8'!W50+'T9'!W50+'T10'!W49+'T11'!W50+'T12'!W49</f>
        <v>66000000</v>
      </c>
      <c r="U50" s="71"/>
      <c r="V50" s="71"/>
      <c r="W50" s="71"/>
      <c r="X50" s="71">
        <f t="shared" si="11"/>
        <v>0</v>
      </c>
      <c r="Y50" s="71"/>
    </row>
    <row r="51" spans="1:25" s="26" customFormat="1" ht="17.25" customHeight="1" x14ac:dyDescent="0.25">
      <c r="A51" s="29">
        <v>33</v>
      </c>
      <c r="B51" s="30" t="s">
        <v>130</v>
      </c>
      <c r="C51" s="31" t="s">
        <v>40</v>
      </c>
      <c r="D51" s="32">
        <f>'T1'!K51</f>
        <v>0</v>
      </c>
      <c r="E51" s="58">
        <f>'T2'!K51</f>
        <v>0</v>
      </c>
      <c r="F51" s="34">
        <f>'T3'!K51</f>
        <v>0</v>
      </c>
      <c r="G51" s="34">
        <f>'T4'!K51</f>
        <v>0</v>
      </c>
      <c r="H51" s="35">
        <f>'T5'!K51</f>
        <v>0</v>
      </c>
      <c r="I51" s="35">
        <f>'T6'!K51</f>
        <v>10828400</v>
      </c>
      <c r="J51" s="34">
        <f>'T7'!K51</f>
        <v>10828400</v>
      </c>
      <c r="K51" s="37">
        <f>'T8'!K51</f>
        <v>10828400</v>
      </c>
      <c r="L51" s="38">
        <f>'T9'!K51</f>
        <v>10828400</v>
      </c>
      <c r="M51" s="39">
        <f>'T10'!K50</f>
        <v>10828400</v>
      </c>
      <c r="N51" s="38">
        <f>'T11'!K51</f>
        <v>10828400</v>
      </c>
      <c r="O51" s="38">
        <f>'T12'!K50</f>
        <v>10828400</v>
      </c>
      <c r="P51" s="40">
        <f>'T1'!O51+'T2'!O51+'T3'!O51+'T4'!O51+'T5'!O51+'T6'!O51+'T7'!O51+'T8'!O51+'T9'!O51+'T10'!O50+'T11'!O51+'T12'!O50</f>
        <v>4628442</v>
      </c>
      <c r="Q51" s="61">
        <f t="shared" si="20"/>
        <v>71170358</v>
      </c>
      <c r="R51" s="42"/>
      <c r="S51" s="70">
        <f>'T1'!V51+'T2'!V51+'T3'!V51+'T4'!V51+'T5'!V51+'T6'!V51+'T7'!V51+'T8'!V51+'T9'!V51+'T10'!V50+'T11'!V51+'T12'!V50</f>
        <v>70688800</v>
      </c>
      <c r="T51" s="71">
        <f>'T1'!W51+'T2'!W51+'T3'!W51+'T4'!W51+'T5'!W51+'T6'!W51+'T7'!W51+'T8'!W51+'T9'!W51+'T10'!W50+'T11'!W51+'T12'!W50</f>
        <v>77000000</v>
      </c>
      <c r="U51" s="71"/>
      <c r="V51" s="71"/>
      <c r="W51" s="71"/>
      <c r="X51" s="71">
        <f t="shared" si="11"/>
        <v>0</v>
      </c>
      <c r="Y51" s="71"/>
    </row>
    <row r="52" spans="1:25" s="26" customFormat="1" ht="17.25" customHeight="1" x14ac:dyDescent="0.25">
      <c r="A52" s="95" t="s">
        <v>13</v>
      </c>
      <c r="B52" s="96"/>
      <c r="C52" s="46"/>
      <c r="D52" s="47">
        <f t="shared" ref="D52:Q52" si="21">D11+D13+D15+D43</f>
        <v>433247176.16649997</v>
      </c>
      <c r="E52" s="47">
        <f t="shared" si="21"/>
        <v>483236110.35449988</v>
      </c>
      <c r="F52" s="47">
        <f t="shared" si="21"/>
        <v>453126273.07300007</v>
      </c>
      <c r="G52" s="47">
        <f t="shared" si="21"/>
        <v>459712688.16449994</v>
      </c>
      <c r="H52" s="47">
        <f t="shared" si="21"/>
        <v>470600504.81499994</v>
      </c>
      <c r="I52" s="47">
        <f t="shared" si="21"/>
        <v>478411904.73999995</v>
      </c>
      <c r="J52" s="47">
        <f t="shared" si="21"/>
        <v>470735940.1275</v>
      </c>
      <c r="K52" s="47">
        <f t="shared" si="21"/>
        <v>486089737.54000002</v>
      </c>
      <c r="L52" s="47">
        <f t="shared" si="21"/>
        <v>448950691.58999997</v>
      </c>
      <c r="M52" s="47">
        <f t="shared" si="21"/>
        <v>478310345.50300002</v>
      </c>
      <c r="N52" s="47">
        <f t="shared" si="21"/>
        <v>499950317.91949999</v>
      </c>
      <c r="O52" s="47">
        <f t="shared" si="21"/>
        <v>489144011.97500002</v>
      </c>
      <c r="P52" s="47">
        <f t="shared" si="21"/>
        <v>249731823</v>
      </c>
      <c r="Q52" s="47">
        <f t="shared" si="21"/>
        <v>5418372030.9685001</v>
      </c>
      <c r="R52" s="48"/>
      <c r="S52" s="47">
        <f>S11+S13+S15+S43</f>
        <v>5371438901.9685001</v>
      </c>
      <c r="T52" s="47">
        <f t="shared" ref="T52" si="22">T11+T13+T15+T43</f>
        <v>3894000000</v>
      </c>
      <c r="U52" s="47">
        <f>U11+U13+U15+U43</f>
        <v>1302400000</v>
      </c>
      <c r="V52" s="47">
        <f>V11+V13+V15+V43</f>
        <v>634427444.86449993</v>
      </c>
      <c r="W52" s="47">
        <f>W11+W13+W15+W43</f>
        <v>39040730</v>
      </c>
      <c r="X52" s="47">
        <f>X11+X13+X15+X43</f>
        <v>591519756.47550011</v>
      </c>
      <c r="Y52" s="47">
        <f>Y11+Y13+Y15+Y43</f>
        <v>0</v>
      </c>
    </row>
    <row r="53" spans="1:25" s="14" customFormat="1" ht="19.5" customHeight="1" x14ac:dyDescent="0.25">
      <c r="A53" s="7"/>
      <c r="B53" s="7"/>
      <c r="C53" s="8"/>
      <c r="D53" s="9"/>
      <c r="E53" s="9"/>
      <c r="F53" s="9"/>
      <c r="G53" s="9"/>
      <c r="H53" s="9"/>
      <c r="I53" s="9"/>
      <c r="J53" s="60"/>
      <c r="K53" s="9"/>
      <c r="L53" s="9"/>
      <c r="M53" s="9"/>
      <c r="N53" s="60"/>
      <c r="O53" s="9"/>
      <c r="P53" s="9"/>
      <c r="Q53" s="9"/>
      <c r="R53" s="15"/>
      <c r="S53" s="17"/>
      <c r="T53" s="72"/>
      <c r="U53" s="72"/>
      <c r="V53" s="72"/>
      <c r="W53" s="72"/>
      <c r="X53" s="72"/>
      <c r="Y53" s="72"/>
    </row>
    <row r="54" spans="1:25" s="17" customFormat="1" ht="12.75" x14ac:dyDescent="0.25">
      <c r="A54" s="16"/>
      <c r="B54" s="16"/>
      <c r="C54" s="16"/>
      <c r="D54" s="16"/>
      <c r="E54" s="16"/>
      <c r="F54" s="16"/>
      <c r="G54" s="16"/>
      <c r="H54" s="16"/>
      <c r="I54" s="16"/>
      <c r="K54" s="16"/>
      <c r="L54" s="16"/>
      <c r="M54" s="84" t="s">
        <v>141</v>
      </c>
      <c r="N54" s="84"/>
      <c r="O54" s="84"/>
      <c r="P54" s="84"/>
      <c r="Q54" s="84"/>
      <c r="R54" s="16"/>
      <c r="T54" s="72"/>
      <c r="U54" s="72"/>
      <c r="V54" s="72"/>
      <c r="W54" s="72"/>
      <c r="X54" s="72"/>
      <c r="Y54" s="72"/>
    </row>
    <row r="55" spans="1:25" s="17" customFormat="1" ht="12.75" x14ac:dyDescent="0.25">
      <c r="A55" s="10" t="s">
        <v>44</v>
      </c>
      <c r="B55" s="16"/>
      <c r="C55" s="16"/>
      <c r="D55" s="16"/>
      <c r="E55" s="10"/>
      <c r="F55" s="16"/>
      <c r="G55" s="97" t="s">
        <v>45</v>
      </c>
      <c r="H55" s="97"/>
      <c r="I55" s="16"/>
      <c r="J55" s="16"/>
      <c r="L55" s="10"/>
      <c r="M55" s="97" t="s">
        <v>46</v>
      </c>
      <c r="N55" s="97"/>
      <c r="O55" s="97"/>
      <c r="P55" s="97"/>
      <c r="Q55" s="97"/>
      <c r="R55" s="16"/>
      <c r="T55" s="72"/>
      <c r="U55" s="72"/>
      <c r="V55" s="72"/>
      <c r="W55" s="72"/>
      <c r="X55" s="72"/>
      <c r="Y55" s="72"/>
    </row>
    <row r="56" spans="1:25" s="17" customFormat="1" ht="12.75" x14ac:dyDescent="0.25">
      <c r="A56" s="11" t="s">
        <v>47</v>
      </c>
      <c r="B56" s="16"/>
      <c r="C56" s="16"/>
      <c r="D56" s="11"/>
      <c r="E56" s="11"/>
      <c r="F56" s="11"/>
      <c r="G56" s="84" t="s">
        <v>48</v>
      </c>
      <c r="H56" s="84"/>
      <c r="I56" s="16"/>
      <c r="J56" s="16"/>
      <c r="K56" s="16"/>
      <c r="L56" s="16"/>
      <c r="M56" s="84" t="s">
        <v>47</v>
      </c>
      <c r="N56" s="84"/>
      <c r="O56" s="84"/>
      <c r="P56" s="84"/>
      <c r="Q56" s="84"/>
      <c r="R56" s="16"/>
      <c r="T56" s="72"/>
      <c r="U56" s="72"/>
      <c r="V56" s="72"/>
      <c r="W56" s="72"/>
      <c r="X56" s="72"/>
      <c r="Y56" s="72"/>
    </row>
    <row r="57" spans="1:25" s="17" customFormat="1" ht="12.75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0"/>
      <c r="Q57" s="16"/>
      <c r="R57" s="16"/>
      <c r="T57" s="73"/>
      <c r="U57" s="73"/>
      <c r="V57" s="73"/>
      <c r="W57" s="73"/>
      <c r="X57" s="73"/>
      <c r="Y57" s="73"/>
    </row>
    <row r="58" spans="1:25" s="17" customFormat="1" x14ac:dyDescent="0.25">
      <c r="A58" s="16"/>
      <c r="B58" s="16"/>
      <c r="C58" s="16"/>
      <c r="D58" s="16"/>
      <c r="E58" s="16"/>
      <c r="F58" s="16"/>
      <c r="G58" s="16"/>
      <c r="H58" s="16"/>
      <c r="I58" s="15"/>
      <c r="J58" s="16"/>
      <c r="K58" s="16"/>
      <c r="L58" s="16"/>
      <c r="M58" s="16"/>
      <c r="N58" s="16"/>
      <c r="O58" s="16"/>
      <c r="P58" s="10"/>
      <c r="Q58" s="16"/>
      <c r="R58" s="16"/>
      <c r="S58" s="13"/>
    </row>
    <row r="59" spans="1:25" x14ac:dyDescent="0.25">
      <c r="A59" s="16"/>
      <c r="B59" s="16"/>
      <c r="C59" s="16"/>
      <c r="D59" s="16"/>
      <c r="E59" s="16"/>
      <c r="F59" s="19"/>
      <c r="G59" s="16"/>
      <c r="H59" s="16"/>
      <c r="I59" s="16"/>
      <c r="J59" s="18"/>
      <c r="K59" s="20"/>
      <c r="L59" s="21"/>
      <c r="N59" s="16"/>
      <c r="O59" s="16"/>
      <c r="P59" s="10"/>
      <c r="Q59" s="16"/>
      <c r="R59" s="12"/>
      <c r="T59" s="17"/>
      <c r="U59" s="17"/>
      <c r="V59" s="17"/>
      <c r="W59" s="17"/>
      <c r="X59" s="17"/>
      <c r="Y59" s="17"/>
    </row>
    <row r="60" spans="1:25" x14ac:dyDescent="0.25">
      <c r="J60" s="22"/>
      <c r="K60" s="23"/>
      <c r="L60" s="24"/>
      <c r="T60" s="17"/>
      <c r="U60" s="17"/>
      <c r="V60" s="17"/>
      <c r="W60" s="17"/>
      <c r="X60" s="17"/>
      <c r="Y60" s="17"/>
    </row>
    <row r="61" spans="1:25" x14ac:dyDescent="0.25">
      <c r="J61" s="22"/>
      <c r="T61" s="17"/>
      <c r="U61" s="17"/>
      <c r="V61" s="17"/>
      <c r="W61" s="17"/>
      <c r="X61" s="17"/>
      <c r="Y61" s="17"/>
    </row>
    <row r="62" spans="1:25" x14ac:dyDescent="0.25">
      <c r="I62" s="25"/>
      <c r="T62" s="17"/>
      <c r="U62" s="17"/>
      <c r="V62" s="17"/>
      <c r="W62" s="17"/>
      <c r="X62" s="17"/>
      <c r="Y62" s="17"/>
    </row>
    <row r="63" spans="1:25" x14ac:dyDescent="0.25">
      <c r="D63" s="23"/>
      <c r="F63" s="22"/>
      <c r="G63" s="23"/>
    </row>
    <row r="64" spans="1:25" x14ac:dyDescent="0.25">
      <c r="F64" s="27"/>
    </row>
    <row r="66" spans="13:13" x14ac:dyDescent="0.25">
      <c r="M66" s="23"/>
    </row>
  </sheetData>
  <mergeCells count="26">
    <mergeCell ref="X8:X9"/>
    <mergeCell ref="Y8:Y9"/>
    <mergeCell ref="S8:S9"/>
    <mergeCell ref="T8:T9"/>
    <mergeCell ref="U8:U9"/>
    <mergeCell ref="V8:V9"/>
    <mergeCell ref="W8:W9"/>
    <mergeCell ref="A11:C11"/>
    <mergeCell ref="A15:C15"/>
    <mergeCell ref="C8:C9"/>
    <mergeCell ref="R8:R9"/>
    <mergeCell ref="A5:R5"/>
    <mergeCell ref="A6:R6"/>
    <mergeCell ref="P8:P9"/>
    <mergeCell ref="Q8:Q9"/>
    <mergeCell ref="D8:O8"/>
    <mergeCell ref="A8:A9"/>
    <mergeCell ref="B8:B9"/>
    <mergeCell ref="A13:C13"/>
    <mergeCell ref="G55:H55"/>
    <mergeCell ref="G56:H56"/>
    <mergeCell ref="A43:C43"/>
    <mergeCell ref="A52:B52"/>
    <mergeCell ref="M54:Q54"/>
    <mergeCell ref="M55:Q55"/>
    <mergeCell ref="M56:Q56"/>
  </mergeCells>
  <hyperlinks>
    <hyperlink ref="B12" r:id="rId1" display="javascript:submitform('8460891335')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A7" sqref="A7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.42578125" style="13" customWidth="1"/>
    <col min="5" max="5" width="11.7109375" style="13" bestFit="1" customWidth="1"/>
    <col min="6" max="6" width="11.42578125" style="13" customWidth="1"/>
    <col min="7" max="15" width="11.7109375" style="13" bestFit="1" customWidth="1"/>
    <col min="16" max="16" width="13.28515625" style="13" bestFit="1" customWidth="1"/>
    <col min="17" max="17" width="14.140625" style="13" customWidth="1"/>
    <col min="18" max="16384" width="9.140625" style="13"/>
  </cols>
  <sheetData>
    <row r="1" spans="1:17" ht="18.75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5.75" x14ac:dyDescent="0.2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x14ac:dyDescent="0.25">
      <c r="A3" s="2" t="s">
        <v>2</v>
      </c>
      <c r="B3" s="12"/>
      <c r="C3" s="12"/>
      <c r="D3" s="12"/>
      <c r="E3" s="12"/>
      <c r="F3" s="12"/>
      <c r="G3" s="12"/>
      <c r="H3" s="12"/>
      <c r="I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3"/>
      <c r="B4" s="12"/>
      <c r="C4" s="12"/>
      <c r="D4" s="12"/>
      <c r="E4" s="12"/>
      <c r="F4" s="12"/>
      <c r="G4" s="12"/>
      <c r="H4" s="12"/>
      <c r="I4" s="12"/>
      <c r="K4" s="12"/>
      <c r="L4" s="12"/>
      <c r="M4" s="12"/>
      <c r="N4" s="12"/>
      <c r="O4" s="12"/>
      <c r="P4" s="12"/>
      <c r="Q4" s="12"/>
    </row>
    <row r="5" spans="1:17" ht="20.25" x14ac:dyDescent="0.25">
      <c r="A5" s="85" t="s">
        <v>63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ht="18.75" x14ac:dyDescent="0.25">
      <c r="A6" s="86" t="s">
        <v>107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x14ac:dyDescent="0.25">
      <c r="A7" s="12"/>
      <c r="B7" s="12"/>
      <c r="C7" s="12"/>
      <c r="D7" s="12"/>
      <c r="E7" s="12"/>
      <c r="F7" s="4"/>
      <c r="G7" s="4"/>
      <c r="H7" s="4"/>
      <c r="I7" s="4"/>
      <c r="J7" s="59"/>
      <c r="K7" s="4"/>
      <c r="L7" s="4"/>
      <c r="M7" s="4"/>
      <c r="N7" s="59"/>
      <c r="O7" s="4"/>
      <c r="P7" s="4"/>
      <c r="Q7" s="12"/>
    </row>
    <row r="8" spans="1:17" s="14" customFormat="1" ht="12.75" customHeight="1" x14ac:dyDescent="0.25">
      <c r="A8" s="81" t="s">
        <v>3</v>
      </c>
      <c r="B8" s="81" t="s">
        <v>4</v>
      </c>
      <c r="C8" s="81" t="s">
        <v>5</v>
      </c>
      <c r="D8" s="89" t="s">
        <v>77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7" t="s">
        <v>76</v>
      </c>
      <c r="Q8" s="101" t="s">
        <v>14</v>
      </c>
    </row>
    <row r="9" spans="1:17" s="57" customFormat="1" ht="15" customHeight="1" x14ac:dyDescent="0.2">
      <c r="A9" s="82"/>
      <c r="B9" s="82"/>
      <c r="C9" s="82"/>
      <c r="D9" s="28" t="s">
        <v>64</v>
      </c>
      <c r="E9" s="28" t="s">
        <v>65</v>
      </c>
      <c r="F9" s="28" t="s">
        <v>66</v>
      </c>
      <c r="G9" s="28" t="s">
        <v>67</v>
      </c>
      <c r="H9" s="28" t="s">
        <v>68</v>
      </c>
      <c r="I9" s="28" t="s">
        <v>69</v>
      </c>
      <c r="J9" s="28" t="s">
        <v>70</v>
      </c>
      <c r="K9" s="28" t="s">
        <v>71</v>
      </c>
      <c r="L9" s="28" t="s">
        <v>72</v>
      </c>
      <c r="M9" s="28" t="s">
        <v>73</v>
      </c>
      <c r="N9" s="28" t="s">
        <v>74</v>
      </c>
      <c r="O9" s="56" t="s">
        <v>75</v>
      </c>
      <c r="P9" s="87"/>
      <c r="Q9" s="103"/>
    </row>
    <row r="10" spans="1:17" s="14" customFormat="1" ht="24.75" customHeigh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6">
        <v>17</v>
      </c>
    </row>
    <row r="11" spans="1:17" s="55" customFormat="1" ht="12.75" x14ac:dyDescent="0.25">
      <c r="A11" s="98" t="s">
        <v>23</v>
      </c>
      <c r="B11" s="99"/>
      <c r="C11" s="100"/>
      <c r="D11" s="51">
        <f t="shared" ref="D11:P11" si="0">SUM(D12:D12)</f>
        <v>4212864</v>
      </c>
      <c r="E11" s="51">
        <f t="shared" si="0"/>
        <v>4212864</v>
      </c>
      <c r="F11" s="51">
        <f t="shared" si="0"/>
        <v>4212864</v>
      </c>
      <c r="G11" s="51">
        <f t="shared" si="0"/>
        <v>4212864</v>
      </c>
      <c r="H11" s="51">
        <f t="shared" si="0"/>
        <v>4212864</v>
      </c>
      <c r="I11" s="51">
        <f t="shared" si="0"/>
        <v>4212864</v>
      </c>
      <c r="J11" s="51">
        <f t="shared" si="0"/>
        <v>263304</v>
      </c>
      <c r="K11" s="51">
        <f t="shared" si="0"/>
        <v>263304</v>
      </c>
      <c r="L11" s="51">
        <f t="shared" si="0"/>
        <v>263304</v>
      </c>
      <c r="M11" s="51">
        <f t="shared" si="0"/>
        <v>263304</v>
      </c>
      <c r="N11" s="51">
        <f t="shared" si="0"/>
        <v>263304</v>
      </c>
      <c r="O11" s="51">
        <f t="shared" si="0"/>
        <v>263304</v>
      </c>
      <c r="P11" s="51">
        <f t="shared" si="0"/>
        <v>26857008</v>
      </c>
      <c r="Q11" s="54"/>
    </row>
    <row r="12" spans="1:17" s="26" customFormat="1" ht="12.75" x14ac:dyDescent="0.25">
      <c r="A12" s="29">
        <v>2</v>
      </c>
      <c r="B12" s="30" t="s">
        <v>26</v>
      </c>
      <c r="C12" s="31" t="s">
        <v>27</v>
      </c>
      <c r="D12" s="32">
        <f>'T1'!O12+'T1'!S12</f>
        <v>4212864</v>
      </c>
      <c r="E12" s="58">
        <f>'T2'!O12+'T2'!S12</f>
        <v>4212864</v>
      </c>
      <c r="F12" s="34">
        <f>'T3'!O12+'T3'!S12</f>
        <v>4212864</v>
      </c>
      <c r="G12" s="34">
        <f>'T4'!O12+'T4'!S12</f>
        <v>4212864</v>
      </c>
      <c r="H12" s="35">
        <f>'T5'!O12+'T5'!S12</f>
        <v>4212864</v>
      </c>
      <c r="I12" s="35">
        <f>'T6'!O12+'T6'!S12</f>
        <v>4212864</v>
      </c>
      <c r="J12" s="34">
        <f>'T7'!N12+'T7'!R12</f>
        <v>263304</v>
      </c>
      <c r="K12" s="37">
        <f>'T8'!N12+'T8'!R12</f>
        <v>263304</v>
      </c>
      <c r="L12" s="38">
        <f>'T9'!N12+'T9'!R12</f>
        <v>263304</v>
      </c>
      <c r="M12" s="39">
        <f>'T10'!N12+'T10'!R12</f>
        <v>263304</v>
      </c>
      <c r="N12" s="38">
        <f>'T11'!N12+'T11'!R12</f>
        <v>263304</v>
      </c>
      <c r="O12" s="38">
        <f>'T12'!N12+'T12'!R12</f>
        <v>263304</v>
      </c>
      <c r="P12" s="61">
        <f t="shared" ref="P12:P41" si="1">SUM(D12:O12)</f>
        <v>26857008</v>
      </c>
      <c r="Q12" s="42"/>
    </row>
    <row r="13" spans="1:17" s="55" customFormat="1" ht="12.75" x14ac:dyDescent="0.25">
      <c r="A13" s="98" t="s">
        <v>23</v>
      </c>
      <c r="B13" s="99"/>
      <c r="C13" s="100"/>
      <c r="D13" s="51">
        <f t="shared" ref="D13:O13" si="2">SUM(D14)</f>
        <v>3862400</v>
      </c>
      <c r="E13" s="51">
        <f t="shared" si="2"/>
        <v>3862400</v>
      </c>
      <c r="F13" s="51">
        <f t="shared" si="2"/>
        <v>3862400</v>
      </c>
      <c r="G13" s="51">
        <f t="shared" si="2"/>
        <v>3862400</v>
      </c>
      <c r="H13" s="51">
        <f t="shared" si="2"/>
        <v>3862400</v>
      </c>
      <c r="I13" s="51">
        <f t="shared" si="2"/>
        <v>3862400</v>
      </c>
      <c r="J13" s="51">
        <f t="shared" si="2"/>
        <v>241400</v>
      </c>
      <c r="K13" s="51">
        <f t="shared" si="2"/>
        <v>241400</v>
      </c>
      <c r="L13" s="51">
        <f t="shared" si="2"/>
        <v>241400</v>
      </c>
      <c r="M13" s="51">
        <f t="shared" si="2"/>
        <v>241400</v>
      </c>
      <c r="N13" s="51">
        <f t="shared" si="2"/>
        <v>241400</v>
      </c>
      <c r="O13" s="51">
        <f t="shared" si="2"/>
        <v>241400</v>
      </c>
      <c r="P13" s="51">
        <f>SUM(P14)</f>
        <v>24622800</v>
      </c>
      <c r="Q13" s="54"/>
    </row>
    <row r="14" spans="1:17" s="26" customFormat="1" ht="12.75" x14ac:dyDescent="0.25">
      <c r="A14" s="29">
        <v>1</v>
      </c>
      <c r="B14" s="30" t="s">
        <v>24</v>
      </c>
      <c r="C14" s="31" t="s">
        <v>25</v>
      </c>
      <c r="D14" s="32">
        <f>'T1'!O14+'T1'!S14</f>
        <v>3862400</v>
      </c>
      <c r="E14" s="58">
        <f>'T2'!O14+'T2'!S14</f>
        <v>3862400</v>
      </c>
      <c r="F14" s="34">
        <f>'T3'!O14+'T3'!S14</f>
        <v>3862400</v>
      </c>
      <c r="G14" s="34">
        <f>'T4'!O14+'T4'!S14</f>
        <v>3862400</v>
      </c>
      <c r="H14" s="35">
        <f>'T5'!O14+'T5'!S14</f>
        <v>3862400</v>
      </c>
      <c r="I14" s="35">
        <f>'T6'!O14+'T6'!S14</f>
        <v>3862400</v>
      </c>
      <c r="J14" s="34">
        <f>'T7'!N14+'T7'!R14</f>
        <v>241400</v>
      </c>
      <c r="K14" s="37">
        <f>'T8'!N14+'T8'!R14</f>
        <v>241400</v>
      </c>
      <c r="L14" s="38">
        <f>'T9'!N14+'T9'!R14</f>
        <v>241400</v>
      </c>
      <c r="M14" s="39">
        <f>'T10'!N14+'T10'!R14</f>
        <v>241400</v>
      </c>
      <c r="N14" s="38">
        <f>'T11'!N14+'T11'!R14</f>
        <v>241400</v>
      </c>
      <c r="O14" s="38">
        <f>'T12'!N14+'T12'!R14</f>
        <v>241400</v>
      </c>
      <c r="P14" s="61">
        <f>SUM(D14:O14)</f>
        <v>24622800</v>
      </c>
      <c r="Q14" s="42"/>
    </row>
    <row r="15" spans="1:17" s="53" customFormat="1" ht="12.75" x14ac:dyDescent="0.25">
      <c r="A15" s="92" t="s">
        <v>28</v>
      </c>
      <c r="B15" s="93"/>
      <c r="C15" s="94"/>
      <c r="D15" s="51" t="e">
        <f t="shared" ref="D15:O15" si="3">SUM(D16:D35)</f>
        <v>#REF!</v>
      </c>
      <c r="E15" s="51">
        <f t="shared" si="3"/>
        <v>36943690</v>
      </c>
      <c r="F15" s="51">
        <f t="shared" si="3"/>
        <v>36943690</v>
      </c>
      <c r="G15" s="51">
        <f t="shared" si="3"/>
        <v>38523840</v>
      </c>
      <c r="H15" s="51">
        <f t="shared" si="3"/>
        <v>38523840</v>
      </c>
      <c r="I15" s="51">
        <f t="shared" si="3"/>
        <v>38523840</v>
      </c>
      <c r="J15" s="51">
        <f t="shared" si="3"/>
        <v>2407740</v>
      </c>
      <c r="K15" s="51">
        <f t="shared" si="3"/>
        <v>2292820</v>
      </c>
      <c r="L15" s="51">
        <f t="shared" si="3"/>
        <v>2292820</v>
      </c>
      <c r="M15" s="51">
        <f t="shared" si="3"/>
        <v>2292820</v>
      </c>
      <c r="N15" s="51">
        <f t="shared" si="3"/>
        <v>2292820</v>
      </c>
      <c r="O15" s="51">
        <f t="shared" si="3"/>
        <v>2292820</v>
      </c>
      <c r="P15" s="51" t="e">
        <f>SUM(P16:P35)</f>
        <v>#REF!</v>
      </c>
      <c r="Q15" s="52"/>
    </row>
    <row r="16" spans="1:17" s="26" customFormat="1" ht="12.75" x14ac:dyDescent="0.25">
      <c r="A16" s="29">
        <v>3</v>
      </c>
      <c r="B16" s="30" t="s">
        <v>34</v>
      </c>
      <c r="C16" s="31" t="s">
        <v>29</v>
      </c>
      <c r="D16" s="32">
        <f>'T1'!O16+'T1'!S16</f>
        <v>2006400</v>
      </c>
      <c r="E16" s="58">
        <f>'T2'!O16+'T2'!S16</f>
        <v>2006400</v>
      </c>
      <c r="F16" s="34">
        <f>'T3'!O16+'T3'!S16</f>
        <v>2006400</v>
      </c>
      <c r="G16" s="34">
        <f>'T4'!O16+'T4'!S16</f>
        <v>2006400</v>
      </c>
      <c r="H16" s="35">
        <f>'T5'!O16+'T5'!S16</f>
        <v>2006400</v>
      </c>
      <c r="I16" s="35">
        <f>'T6'!O16+'T6'!S16</f>
        <v>2006400</v>
      </c>
      <c r="J16" s="34">
        <f>'T7'!N16+'T7'!R16</f>
        <v>125400</v>
      </c>
      <c r="K16" s="37">
        <f>'T8'!N16+'T8'!R16</f>
        <v>125400</v>
      </c>
      <c r="L16" s="38">
        <f>'T9'!N16+'T9'!R16</f>
        <v>125400</v>
      </c>
      <c r="M16" s="39">
        <f>'T10'!N16+'T10'!R16</f>
        <v>125400</v>
      </c>
      <c r="N16" s="38">
        <f>'T11'!N16+'T11'!R16</f>
        <v>125400</v>
      </c>
      <c r="O16" s="38">
        <f>'T12'!N16+'T12'!R16</f>
        <v>125400</v>
      </c>
      <c r="P16" s="61">
        <f t="shared" si="1"/>
        <v>12790800</v>
      </c>
      <c r="Q16" s="42"/>
    </row>
    <row r="17" spans="1:17" s="26" customFormat="1" ht="12.75" x14ac:dyDescent="0.25">
      <c r="A17" s="29">
        <v>4</v>
      </c>
      <c r="B17" s="30" t="s">
        <v>31</v>
      </c>
      <c r="C17" s="31" t="s">
        <v>29</v>
      </c>
      <c r="D17" s="32">
        <f>'T1'!O17+'T1'!S17</f>
        <v>1838208</v>
      </c>
      <c r="E17" s="58">
        <f>'T2'!O17+'T2'!S17</f>
        <v>1838208</v>
      </c>
      <c r="F17" s="34">
        <f>'T3'!O17+'T3'!S17</f>
        <v>1838208</v>
      </c>
      <c r="G17" s="34">
        <f>'T4'!O17+'T4'!S17</f>
        <v>1838208</v>
      </c>
      <c r="H17" s="35">
        <f>'T5'!O17+'T5'!S17</f>
        <v>1838208</v>
      </c>
      <c r="I17" s="35">
        <f>'T6'!O17+'T6'!S17</f>
        <v>1838208</v>
      </c>
      <c r="J17" s="34">
        <f>'T7'!N17+'T7'!R17</f>
        <v>114888</v>
      </c>
      <c r="K17" s="37">
        <f>'T8'!N17+'T8'!R17</f>
        <v>114888</v>
      </c>
      <c r="L17" s="38">
        <f>'T9'!N17+'T9'!R17</f>
        <v>114888</v>
      </c>
      <c r="M17" s="39">
        <f>'T10'!N17+'T10'!R17</f>
        <v>114888</v>
      </c>
      <c r="N17" s="38">
        <f>'T11'!N17+'T11'!R17</f>
        <v>114888</v>
      </c>
      <c r="O17" s="38">
        <f>'T12'!N17+'T12'!R17</f>
        <v>114888</v>
      </c>
      <c r="P17" s="61">
        <f t="shared" ref="P17:P39" si="4">SUM(D17:O17)</f>
        <v>11718576</v>
      </c>
      <c r="Q17" s="42"/>
    </row>
    <row r="18" spans="1:17" s="26" customFormat="1" ht="12.75" x14ac:dyDescent="0.25">
      <c r="A18" s="29">
        <v>5</v>
      </c>
      <c r="B18" s="30" t="s">
        <v>32</v>
      </c>
      <c r="C18" s="31" t="s">
        <v>29</v>
      </c>
      <c r="D18" s="32">
        <f>'T1'!O18+'T1'!S18</f>
        <v>1838208</v>
      </c>
      <c r="E18" s="58">
        <f>'T2'!O18+'T2'!S18</f>
        <v>1838208</v>
      </c>
      <c r="F18" s="34">
        <f>'T3'!O18+'T3'!S18</f>
        <v>1838208</v>
      </c>
      <c r="G18" s="34">
        <f>'T4'!O18+'T4'!S18</f>
        <v>1838208</v>
      </c>
      <c r="H18" s="35">
        <f>'T5'!O18+'T5'!S18</f>
        <v>1838208</v>
      </c>
      <c r="I18" s="35">
        <f>'T6'!O18+'T6'!S18</f>
        <v>1838208</v>
      </c>
      <c r="J18" s="34">
        <f>'T7'!N18+'T7'!R18</f>
        <v>114888</v>
      </c>
      <c r="K18" s="37">
        <f>'T8'!N18+'T8'!R18</f>
        <v>114888</v>
      </c>
      <c r="L18" s="38">
        <f>'T9'!N18+'T9'!R18</f>
        <v>114888</v>
      </c>
      <c r="M18" s="39">
        <f>'T10'!N18+'T10'!R18</f>
        <v>114888</v>
      </c>
      <c r="N18" s="38">
        <f>'T11'!N18+'T11'!R18</f>
        <v>114888</v>
      </c>
      <c r="O18" s="38">
        <f>'T12'!N18+'T12'!R18</f>
        <v>114888</v>
      </c>
      <c r="P18" s="61">
        <f t="shared" si="4"/>
        <v>11718576</v>
      </c>
      <c r="Q18" s="42"/>
    </row>
    <row r="19" spans="1:17" s="26" customFormat="1" ht="12.75" x14ac:dyDescent="0.25">
      <c r="A19" s="29">
        <v>6</v>
      </c>
      <c r="B19" s="30" t="s">
        <v>37</v>
      </c>
      <c r="C19" s="31" t="s">
        <v>29</v>
      </c>
      <c r="D19" s="32" t="e">
        <f>'T1'!#REF!+'T1'!#REF!</f>
        <v>#REF!</v>
      </c>
      <c r="E19" s="58">
        <f>'T2'!O19+'T2'!S19</f>
        <v>1774528</v>
      </c>
      <c r="F19" s="34">
        <f>'T3'!O19+'T3'!S19</f>
        <v>1774528</v>
      </c>
      <c r="G19" s="34">
        <f>'T4'!O19+'T4'!S19</f>
        <v>1774528</v>
      </c>
      <c r="H19" s="35">
        <f>'T5'!O19+'T5'!S19</f>
        <v>1774528</v>
      </c>
      <c r="I19" s="35">
        <f>'T6'!O19+'T6'!S19</f>
        <v>1774528</v>
      </c>
      <c r="J19" s="34">
        <f>'T7'!N19+'T7'!R19</f>
        <v>110908</v>
      </c>
      <c r="K19" s="37">
        <f>'T8'!N19+'T8'!R19</f>
        <v>110908</v>
      </c>
      <c r="L19" s="38">
        <f>'T9'!N19+'T9'!R19</f>
        <v>110908</v>
      </c>
      <c r="M19" s="39">
        <f>'T10'!N19+'T10'!R19</f>
        <v>110908</v>
      </c>
      <c r="N19" s="38">
        <f>'T11'!N19+'T11'!R19</f>
        <v>110908</v>
      </c>
      <c r="O19" s="38">
        <f>'T12'!N19+'T12'!R19</f>
        <v>110908</v>
      </c>
      <c r="P19" s="61" t="e">
        <f t="shared" si="4"/>
        <v>#REF!</v>
      </c>
      <c r="Q19" s="42"/>
    </row>
    <row r="20" spans="1:17" s="44" customFormat="1" ht="12.75" x14ac:dyDescent="0.2">
      <c r="A20" s="29">
        <v>7</v>
      </c>
      <c r="B20" s="30" t="s">
        <v>33</v>
      </c>
      <c r="C20" s="31" t="s">
        <v>30</v>
      </c>
      <c r="D20" s="32">
        <f>'T1'!O19+'T1'!S19</f>
        <v>1774528</v>
      </c>
      <c r="E20" s="58">
        <f>'T2'!O20+'T2'!S20</f>
        <v>2006400</v>
      </c>
      <c r="F20" s="34">
        <f>'T3'!O20+'T3'!S20</f>
        <v>2006400</v>
      </c>
      <c r="G20" s="34">
        <f>'T4'!O20+'T4'!S20</f>
        <v>2006400</v>
      </c>
      <c r="H20" s="35">
        <f>'T5'!O20+'T5'!S20</f>
        <v>2006400</v>
      </c>
      <c r="I20" s="35">
        <f>'T6'!O20+'T6'!S20</f>
        <v>2006400</v>
      </c>
      <c r="J20" s="34">
        <f>'T7'!N20+'T7'!R20</f>
        <v>125400</v>
      </c>
      <c r="K20" s="37">
        <f>'T8'!N20+'T8'!R20</f>
        <v>125400</v>
      </c>
      <c r="L20" s="38">
        <f>'T9'!N20+'T9'!R20</f>
        <v>125400</v>
      </c>
      <c r="M20" s="39">
        <f>'T10'!N20+'T10'!R20</f>
        <v>125400</v>
      </c>
      <c r="N20" s="38">
        <f>'T11'!N20+'T11'!R20</f>
        <v>125400</v>
      </c>
      <c r="O20" s="38">
        <f>'T12'!N20+'T12'!R20</f>
        <v>125400</v>
      </c>
      <c r="P20" s="61">
        <f t="shared" si="4"/>
        <v>12558928</v>
      </c>
      <c r="Q20" s="42"/>
    </row>
    <row r="21" spans="1:17" s="44" customFormat="1" ht="12.75" x14ac:dyDescent="0.2">
      <c r="A21" s="29">
        <v>8</v>
      </c>
      <c r="B21" s="30" t="s">
        <v>35</v>
      </c>
      <c r="C21" s="31" t="s">
        <v>36</v>
      </c>
      <c r="D21" s="32">
        <f>'T1'!O20+'T1'!S20</f>
        <v>2006400</v>
      </c>
      <c r="E21" s="58">
        <f>'T2'!O21+'T2'!S21</f>
        <v>258570</v>
      </c>
      <c r="F21" s="34">
        <f>'T3'!O21+'T3'!S21</f>
        <v>258570</v>
      </c>
      <c r="G21" s="34">
        <f>'T4'!O21+'T4'!S21</f>
        <v>1838720</v>
      </c>
      <c r="H21" s="35">
        <f>'T5'!O21+'T5'!S21</f>
        <v>1838720</v>
      </c>
      <c r="I21" s="35">
        <f>'T6'!O21+'T6'!S21</f>
        <v>1838720</v>
      </c>
      <c r="J21" s="34">
        <f>'T7'!N21+'T7'!R21</f>
        <v>114920</v>
      </c>
      <c r="K21" s="37">
        <f>'T8'!N21+'T8'!R21</f>
        <v>114920</v>
      </c>
      <c r="L21" s="38">
        <f>'T9'!N21+'T9'!R21</f>
        <v>114920</v>
      </c>
      <c r="M21" s="39">
        <f>'T10'!N21+'T10'!R21</f>
        <v>114920</v>
      </c>
      <c r="N21" s="38">
        <f>'T11'!N21+'T11'!R21</f>
        <v>114920</v>
      </c>
      <c r="O21" s="38">
        <f>'T12'!N21+'T12'!R21</f>
        <v>114920</v>
      </c>
      <c r="P21" s="61">
        <f t="shared" si="4"/>
        <v>8729220</v>
      </c>
      <c r="Q21" s="42"/>
    </row>
    <row r="22" spans="1:17" s="44" customFormat="1" ht="12.75" x14ac:dyDescent="0.2">
      <c r="A22" s="29">
        <v>9</v>
      </c>
      <c r="B22" s="30" t="s">
        <v>50</v>
      </c>
      <c r="C22" s="31" t="s">
        <v>29</v>
      </c>
      <c r="D22" s="32" t="e">
        <f>'T1'!#REF!+'T1'!#REF!</f>
        <v>#REF!</v>
      </c>
      <c r="E22" s="58">
        <f>'T2'!O22+'T2'!S22</f>
        <v>1838720</v>
      </c>
      <c r="F22" s="34">
        <f>'T3'!O22+'T3'!S22</f>
        <v>1838720</v>
      </c>
      <c r="G22" s="34">
        <f>'T4'!O22+'T4'!S22</f>
        <v>1838720</v>
      </c>
      <c r="H22" s="35">
        <f>'T5'!O22+'T5'!S22</f>
        <v>1838720</v>
      </c>
      <c r="I22" s="35">
        <f>'T6'!O22+'T6'!S22</f>
        <v>1838720</v>
      </c>
      <c r="J22" s="34">
        <f>'T7'!N22+'T7'!R22</f>
        <v>114920</v>
      </c>
      <c r="K22" s="37">
        <f>'T8'!N22+'T8'!R22</f>
        <v>114920</v>
      </c>
      <c r="L22" s="38">
        <f>'T9'!N22+'T9'!R22</f>
        <v>114920</v>
      </c>
      <c r="M22" s="39">
        <f>'T10'!N22+'T10'!R22</f>
        <v>114920</v>
      </c>
      <c r="N22" s="38">
        <f>'T11'!N22+'T11'!R22</f>
        <v>114920</v>
      </c>
      <c r="O22" s="38">
        <f>'T12'!N22+'T12'!R22</f>
        <v>114920</v>
      </c>
      <c r="P22" s="61" t="e">
        <f t="shared" si="4"/>
        <v>#REF!</v>
      </c>
      <c r="Q22" s="42"/>
    </row>
    <row r="23" spans="1:17" s="44" customFormat="1" ht="12.75" x14ac:dyDescent="0.2">
      <c r="A23" s="29">
        <v>10</v>
      </c>
      <c r="B23" s="30" t="s">
        <v>51</v>
      </c>
      <c r="C23" s="45" t="s">
        <v>30</v>
      </c>
      <c r="D23" s="32">
        <f>'T1'!O21+'T1'!S21</f>
        <v>1838720</v>
      </c>
      <c r="E23" s="58">
        <f>'T2'!O23+'T2'!S23</f>
        <v>1838720</v>
      </c>
      <c r="F23" s="34">
        <f>'T3'!O23+'T3'!S23</f>
        <v>1838720</v>
      </c>
      <c r="G23" s="34">
        <f>'T4'!O23+'T4'!S23</f>
        <v>1838720</v>
      </c>
      <c r="H23" s="35">
        <f>'T5'!O23+'T5'!S23</f>
        <v>1838720</v>
      </c>
      <c r="I23" s="35">
        <f>'T6'!O23+'T6'!S23</f>
        <v>1838720</v>
      </c>
      <c r="J23" s="34">
        <f>'T7'!N23+'T7'!R23</f>
        <v>114920</v>
      </c>
      <c r="K23" s="37">
        <f>'T8'!N23+'T8'!R23</f>
        <v>114920</v>
      </c>
      <c r="L23" s="38">
        <f>'T9'!N23+'T9'!R23</f>
        <v>114920</v>
      </c>
      <c r="M23" s="39">
        <f>'T10'!N23+'T10'!R23</f>
        <v>114920</v>
      </c>
      <c r="N23" s="38">
        <f>'T11'!N23+'T11'!R23</f>
        <v>114920</v>
      </c>
      <c r="O23" s="38">
        <f>'T12'!N23+'T12'!R23</f>
        <v>114920</v>
      </c>
      <c r="P23" s="61">
        <f t="shared" si="4"/>
        <v>11721840</v>
      </c>
      <c r="Q23" s="42"/>
    </row>
    <row r="24" spans="1:17" s="26" customFormat="1" ht="12.75" x14ac:dyDescent="0.25">
      <c r="A24" s="29">
        <v>11</v>
      </c>
      <c r="B24" s="30" t="s">
        <v>49</v>
      </c>
      <c r="C24" s="45" t="s">
        <v>30</v>
      </c>
      <c r="D24" s="32">
        <f>'T1'!O22+'T1'!S22</f>
        <v>1838720</v>
      </c>
      <c r="E24" s="58">
        <f>'T2'!O24+'T2'!S24</f>
        <v>2008448</v>
      </c>
      <c r="F24" s="34">
        <f>'T3'!O24+'T3'!S24</f>
        <v>2008448</v>
      </c>
      <c r="G24" s="34">
        <f>'T4'!O24+'T4'!S24</f>
        <v>2008448</v>
      </c>
      <c r="H24" s="35">
        <f>'T5'!O24+'T5'!S24</f>
        <v>2008448</v>
      </c>
      <c r="I24" s="35">
        <f>'T6'!O24+'T6'!S24</f>
        <v>2008448</v>
      </c>
      <c r="J24" s="34">
        <f>'T7'!N24+'T7'!R24</f>
        <v>125528</v>
      </c>
      <c r="K24" s="37">
        <f>'T8'!N24+'T8'!R24</f>
        <v>125528</v>
      </c>
      <c r="L24" s="38">
        <f>'T9'!N24+'T9'!R24</f>
        <v>125528</v>
      </c>
      <c r="M24" s="39">
        <f>'T10'!N24+'T10'!R24</f>
        <v>125528</v>
      </c>
      <c r="N24" s="38">
        <f>'T11'!N24+'T11'!R24</f>
        <v>125528</v>
      </c>
      <c r="O24" s="38">
        <f>'T12'!N24+'T12'!R24</f>
        <v>125528</v>
      </c>
      <c r="P24" s="61">
        <f t="shared" si="4"/>
        <v>12634128</v>
      </c>
      <c r="Q24" s="42"/>
    </row>
    <row r="25" spans="1:17" s="26" customFormat="1" ht="12.75" x14ac:dyDescent="0.25">
      <c r="A25" s="29">
        <v>12</v>
      </c>
      <c r="B25" s="30" t="s">
        <v>53</v>
      </c>
      <c r="C25" s="45" t="s">
        <v>30</v>
      </c>
      <c r="D25" s="32">
        <f>'T1'!O23+'T1'!S23</f>
        <v>1838720</v>
      </c>
      <c r="E25" s="58">
        <f>'T2'!O25+'T2'!S25</f>
        <v>1838720</v>
      </c>
      <c r="F25" s="34">
        <f>'T3'!O25+'T3'!S25</f>
        <v>1838720</v>
      </c>
      <c r="G25" s="34">
        <f>'T4'!O25+'T4'!S25</f>
        <v>1838720</v>
      </c>
      <c r="H25" s="35">
        <f>'T5'!O25+'T5'!S25</f>
        <v>1838720</v>
      </c>
      <c r="I25" s="35">
        <f>'T6'!O25+'T6'!S25</f>
        <v>1838720</v>
      </c>
      <c r="J25" s="34">
        <f>'T7'!N25+'T7'!R25</f>
        <v>114920</v>
      </c>
      <c r="K25" s="37">
        <f>'T8'!N25+'T8'!R25</f>
        <v>114920</v>
      </c>
      <c r="L25" s="38">
        <f>'T9'!N25+'T9'!R25</f>
        <v>114920</v>
      </c>
      <c r="M25" s="39">
        <f>'T10'!N25+'T10'!R25</f>
        <v>114920</v>
      </c>
      <c r="N25" s="38">
        <f>'T11'!N25+'T11'!R25</f>
        <v>114920</v>
      </c>
      <c r="O25" s="38">
        <f>'T12'!N25+'T12'!R25</f>
        <v>114920</v>
      </c>
      <c r="P25" s="61">
        <f t="shared" si="4"/>
        <v>11721840</v>
      </c>
      <c r="Q25" s="42"/>
    </row>
    <row r="26" spans="1:17" s="26" customFormat="1" ht="12.75" x14ac:dyDescent="0.25">
      <c r="A26" s="29">
        <v>13</v>
      </c>
      <c r="B26" s="30" t="s">
        <v>78</v>
      </c>
      <c r="C26" s="31" t="s">
        <v>29</v>
      </c>
      <c r="D26" s="32">
        <f>'T1'!O24+'T1'!S24</f>
        <v>2008448</v>
      </c>
      <c r="E26" s="58">
        <f>'T2'!O26+'T2'!S26</f>
        <v>1838720</v>
      </c>
      <c r="F26" s="34">
        <f>'T3'!O26+'T3'!S26</f>
        <v>1838720</v>
      </c>
      <c r="G26" s="34">
        <f>'T4'!O26+'T4'!S26</f>
        <v>1838720</v>
      </c>
      <c r="H26" s="35">
        <f>'T5'!O26+'T5'!S26</f>
        <v>1838720</v>
      </c>
      <c r="I26" s="35">
        <f>'T6'!O26+'T6'!S26</f>
        <v>1838720</v>
      </c>
      <c r="J26" s="34">
        <f>'T7'!N26+'T7'!R26</f>
        <v>114920</v>
      </c>
      <c r="K26" s="37">
        <f>'T8'!N26+'T8'!R26</f>
        <v>114920</v>
      </c>
      <c r="L26" s="38">
        <f>'T9'!N26+'T9'!R26</f>
        <v>114920</v>
      </c>
      <c r="M26" s="39">
        <f>'T10'!N26+'T10'!R26</f>
        <v>114920</v>
      </c>
      <c r="N26" s="38">
        <f>'T11'!N26+'T11'!R26</f>
        <v>114920</v>
      </c>
      <c r="O26" s="38">
        <f>'T12'!N26+'T12'!R26</f>
        <v>114920</v>
      </c>
      <c r="P26" s="61">
        <f t="shared" si="4"/>
        <v>11891568</v>
      </c>
      <c r="Q26" s="42"/>
    </row>
    <row r="27" spans="1:17" s="26" customFormat="1" ht="12.75" x14ac:dyDescent="0.25">
      <c r="A27" s="29">
        <v>14</v>
      </c>
      <c r="B27" s="30" t="s">
        <v>80</v>
      </c>
      <c r="C27" s="45" t="s">
        <v>30</v>
      </c>
      <c r="D27" s="32">
        <f>'T1'!O25+'T1'!S25</f>
        <v>1838720</v>
      </c>
      <c r="E27" s="58">
        <f>'T2'!O27+'T2'!S27</f>
        <v>1838720</v>
      </c>
      <c r="F27" s="34">
        <f>'T3'!O27+'T3'!S27</f>
        <v>1838720</v>
      </c>
      <c r="G27" s="34">
        <f>'T4'!O27+'T4'!S27</f>
        <v>1838720</v>
      </c>
      <c r="H27" s="35">
        <f>'T5'!O27+'T5'!S27</f>
        <v>1838720</v>
      </c>
      <c r="I27" s="35">
        <f>'T6'!O27+'T6'!S27</f>
        <v>1838720</v>
      </c>
      <c r="J27" s="34">
        <f>'T7'!N27+'T7'!R27</f>
        <v>114920</v>
      </c>
      <c r="K27" s="37">
        <f>'T8'!N27+'T8'!R27</f>
        <v>114920</v>
      </c>
      <c r="L27" s="38">
        <f>'T9'!N27+'T9'!R27</f>
        <v>114920</v>
      </c>
      <c r="M27" s="39">
        <f>'T10'!N27+'T10'!R27</f>
        <v>114920</v>
      </c>
      <c r="N27" s="38">
        <f>'T11'!N27+'T11'!R27</f>
        <v>114920</v>
      </c>
      <c r="O27" s="38">
        <f>'T12'!N27+'T12'!R27</f>
        <v>114920</v>
      </c>
      <c r="P27" s="61">
        <f t="shared" si="4"/>
        <v>11721840</v>
      </c>
      <c r="Q27" s="42"/>
    </row>
    <row r="28" spans="1:17" s="26" customFormat="1" ht="12.75" x14ac:dyDescent="0.25">
      <c r="A28" s="29">
        <v>15</v>
      </c>
      <c r="B28" s="30" t="s">
        <v>86</v>
      </c>
      <c r="C28" s="31" t="s">
        <v>30</v>
      </c>
      <c r="D28" s="32">
        <f>'T1'!O26+'T1'!S26</f>
        <v>1838720</v>
      </c>
      <c r="E28" s="58">
        <f>'T2'!O28+'T2'!S28</f>
        <v>1838720</v>
      </c>
      <c r="F28" s="34">
        <f>'T3'!O28+'T3'!S28</f>
        <v>1838720</v>
      </c>
      <c r="G28" s="34">
        <f>'T4'!O28+'T4'!S28</f>
        <v>1838720</v>
      </c>
      <c r="H28" s="35">
        <f>'T5'!O28+'T5'!S28</f>
        <v>1838720</v>
      </c>
      <c r="I28" s="35">
        <f>'T6'!O28+'T6'!S28</f>
        <v>1838720</v>
      </c>
      <c r="J28" s="34">
        <f>'T7'!N28+'T7'!R28</f>
        <v>114920</v>
      </c>
      <c r="K28" s="37">
        <f>'T8'!N28+'T8'!R28</f>
        <v>0</v>
      </c>
      <c r="L28" s="38">
        <f>'T9'!N28+'T9'!R28</f>
        <v>0</v>
      </c>
      <c r="M28" s="39">
        <f>'T10'!N28+'T10'!R28</f>
        <v>0</v>
      </c>
      <c r="N28" s="38">
        <f>'T11'!N28+'T11'!R28</f>
        <v>0</v>
      </c>
      <c r="O28" s="38">
        <f>'T12'!N28+'T12'!R28</f>
        <v>0</v>
      </c>
      <c r="P28" s="61">
        <f t="shared" si="4"/>
        <v>11147240</v>
      </c>
      <c r="Q28" s="42"/>
    </row>
    <row r="29" spans="1:17" s="26" customFormat="1" ht="12.75" x14ac:dyDescent="0.25">
      <c r="A29" s="29">
        <v>16</v>
      </c>
      <c r="B29" s="30" t="s">
        <v>89</v>
      </c>
      <c r="C29" s="31" t="s">
        <v>30</v>
      </c>
      <c r="D29" s="32">
        <f>'T1'!O27+'T1'!S27</f>
        <v>1838720</v>
      </c>
      <c r="E29" s="58">
        <f>'T2'!O29+'T2'!S29</f>
        <v>2008448</v>
      </c>
      <c r="F29" s="34">
        <f>'T3'!O29+'T3'!S29</f>
        <v>2008448</v>
      </c>
      <c r="G29" s="34">
        <f>'T4'!O29+'T4'!S29</f>
        <v>2008448</v>
      </c>
      <c r="H29" s="35">
        <f>'T5'!O29+'T5'!S29</f>
        <v>2008448</v>
      </c>
      <c r="I29" s="35">
        <f>'T6'!O29+'T6'!S29</f>
        <v>2008448</v>
      </c>
      <c r="J29" s="34">
        <f>'T7'!N29+'T7'!R29</f>
        <v>125528</v>
      </c>
      <c r="K29" s="37">
        <f>'T8'!N29+'T8'!R29</f>
        <v>125528</v>
      </c>
      <c r="L29" s="38">
        <f>'T9'!N29+'T9'!R29</f>
        <v>125528</v>
      </c>
      <c r="M29" s="39">
        <f>'T10'!N29+'T10'!R29</f>
        <v>125528</v>
      </c>
      <c r="N29" s="38">
        <f>'T11'!N29+'T11'!R29</f>
        <v>125528</v>
      </c>
      <c r="O29" s="38">
        <f>'T12'!N29+'T12'!R29</f>
        <v>125528</v>
      </c>
      <c r="P29" s="61">
        <f t="shared" si="4"/>
        <v>12634128</v>
      </c>
      <c r="Q29" s="42"/>
    </row>
    <row r="30" spans="1:17" s="26" customFormat="1" ht="25.5" x14ac:dyDescent="0.25">
      <c r="A30" s="29">
        <v>17</v>
      </c>
      <c r="B30" s="30" t="s">
        <v>88</v>
      </c>
      <c r="C30" s="31" t="s">
        <v>90</v>
      </c>
      <c r="D30" s="32" t="e">
        <f>'T1'!#REF!+'T1'!#REF!</f>
        <v>#REF!</v>
      </c>
      <c r="E30" s="58">
        <f>'T2'!O30+'T2'!S30</f>
        <v>2008448</v>
      </c>
      <c r="F30" s="34">
        <f>'T3'!O30+'T3'!S30</f>
        <v>2008448</v>
      </c>
      <c r="G30" s="34">
        <f>'T4'!O30+'T4'!S30</f>
        <v>2008448</v>
      </c>
      <c r="H30" s="35">
        <f>'T5'!O30+'T5'!S30</f>
        <v>2008448</v>
      </c>
      <c r="I30" s="35">
        <f>'T6'!O30+'T6'!S30</f>
        <v>2008448</v>
      </c>
      <c r="J30" s="34">
        <f>'T7'!N30+'T7'!R30</f>
        <v>125528</v>
      </c>
      <c r="K30" s="37">
        <f>'T8'!N30+'T8'!R30</f>
        <v>125528</v>
      </c>
      <c r="L30" s="38">
        <f>'T9'!N30+'T9'!R30</f>
        <v>125528</v>
      </c>
      <c r="M30" s="39">
        <f>'T10'!N30+'T10'!R30</f>
        <v>125528</v>
      </c>
      <c r="N30" s="38">
        <f>'T11'!N30+'T11'!R30</f>
        <v>125528</v>
      </c>
      <c r="O30" s="38">
        <f>'T12'!N30+'T12'!R30</f>
        <v>125528</v>
      </c>
      <c r="P30" s="61" t="e">
        <f t="shared" si="4"/>
        <v>#REF!</v>
      </c>
      <c r="Q30" s="42"/>
    </row>
    <row r="31" spans="1:17" s="26" customFormat="1" ht="12.75" x14ac:dyDescent="0.25">
      <c r="A31" s="29">
        <v>18</v>
      </c>
      <c r="B31" s="30" t="s">
        <v>91</v>
      </c>
      <c r="C31" s="31" t="s">
        <v>30</v>
      </c>
      <c r="D31" s="32">
        <f>'T1'!O28+'T1'!S28</f>
        <v>1838720</v>
      </c>
      <c r="E31" s="58">
        <f>'T2'!O31+'T2'!S31</f>
        <v>1838720</v>
      </c>
      <c r="F31" s="34">
        <f>'T3'!O31+'T3'!S31</f>
        <v>1838720</v>
      </c>
      <c r="G31" s="34">
        <f>'T4'!O31+'T4'!S31</f>
        <v>1838720</v>
      </c>
      <c r="H31" s="35">
        <f>'T5'!O31+'T5'!S31</f>
        <v>1838720</v>
      </c>
      <c r="I31" s="35">
        <f>'T6'!O31+'T6'!S31</f>
        <v>1838720</v>
      </c>
      <c r="J31" s="34">
        <f>'T7'!N31+'T7'!R31</f>
        <v>114920</v>
      </c>
      <c r="K31" s="37">
        <f>'T8'!N31+'T8'!R31</f>
        <v>114920</v>
      </c>
      <c r="L31" s="38">
        <f>'T9'!N31+'T9'!R31</f>
        <v>114920</v>
      </c>
      <c r="M31" s="39">
        <f>'T10'!N31+'T10'!R31</f>
        <v>114920</v>
      </c>
      <c r="N31" s="38">
        <f>'T11'!N31+'T11'!R31</f>
        <v>114920</v>
      </c>
      <c r="O31" s="38">
        <f>'T12'!N31+'T12'!R31</f>
        <v>114920</v>
      </c>
      <c r="P31" s="61">
        <f t="shared" si="4"/>
        <v>11721840</v>
      </c>
      <c r="Q31" s="42"/>
    </row>
    <row r="32" spans="1:17" s="26" customFormat="1" ht="12.75" x14ac:dyDescent="0.25">
      <c r="A32" s="29">
        <v>19</v>
      </c>
      <c r="B32" s="30" t="s">
        <v>92</v>
      </c>
      <c r="C32" s="31" t="s">
        <v>29</v>
      </c>
      <c r="D32" s="32">
        <f>'T1'!O29+'T1'!S29</f>
        <v>2008448</v>
      </c>
      <c r="E32" s="58">
        <f>'T2'!O32+'T2'!S32</f>
        <v>1838720</v>
      </c>
      <c r="F32" s="34">
        <f>'T3'!O32+'T3'!S32</f>
        <v>1838720</v>
      </c>
      <c r="G32" s="34">
        <f>'T4'!O32+'T4'!S32</f>
        <v>1838720</v>
      </c>
      <c r="H32" s="35">
        <f>'T5'!O32+'T5'!S32</f>
        <v>1838720</v>
      </c>
      <c r="I32" s="35">
        <f>'T6'!O32+'T6'!S32</f>
        <v>1838720</v>
      </c>
      <c r="J32" s="34">
        <f>'T7'!N32+'T7'!R32</f>
        <v>114920</v>
      </c>
      <c r="K32" s="37">
        <f>'T8'!N32+'T8'!R32</f>
        <v>114920</v>
      </c>
      <c r="L32" s="38">
        <f>'T9'!N32+'T9'!R32</f>
        <v>114920</v>
      </c>
      <c r="M32" s="39">
        <f>'T10'!N32+'T10'!R32</f>
        <v>114920</v>
      </c>
      <c r="N32" s="38">
        <f>'T11'!N32+'T11'!R32</f>
        <v>114920</v>
      </c>
      <c r="O32" s="38">
        <f>'T12'!N32+'T12'!R32</f>
        <v>114920</v>
      </c>
      <c r="P32" s="61">
        <f t="shared" si="4"/>
        <v>11891568</v>
      </c>
      <c r="Q32" s="42"/>
    </row>
    <row r="33" spans="1:17" s="26" customFormat="1" ht="12.75" x14ac:dyDescent="0.25">
      <c r="A33" s="29">
        <v>20</v>
      </c>
      <c r="B33" s="30" t="s">
        <v>93</v>
      </c>
      <c r="C33" s="31" t="s">
        <v>29</v>
      </c>
      <c r="D33" s="32">
        <f>'T1'!O30+'T1'!S30</f>
        <v>2008448</v>
      </c>
      <c r="E33" s="58">
        <f>'T2'!O33+'T2'!S33</f>
        <v>1838720</v>
      </c>
      <c r="F33" s="34">
        <f>'T3'!O33+'T3'!S33</f>
        <v>1838720</v>
      </c>
      <c r="G33" s="34">
        <f>'T4'!O33+'T4'!S33</f>
        <v>1838720</v>
      </c>
      <c r="H33" s="35">
        <f>'T5'!O33+'T5'!S33</f>
        <v>1838720</v>
      </c>
      <c r="I33" s="35">
        <f>'T6'!O33+'T6'!S33</f>
        <v>1838720</v>
      </c>
      <c r="J33" s="34">
        <f>'T7'!N33+'T7'!R33</f>
        <v>114920</v>
      </c>
      <c r="K33" s="37">
        <f>'T8'!N33+'T8'!R33</f>
        <v>114920</v>
      </c>
      <c r="L33" s="38">
        <f>'T9'!N33+'T9'!R33</f>
        <v>114920</v>
      </c>
      <c r="M33" s="39">
        <f>'T10'!N33+'T10'!R33</f>
        <v>114920</v>
      </c>
      <c r="N33" s="38">
        <f>'T11'!N33+'T11'!R33</f>
        <v>114920</v>
      </c>
      <c r="O33" s="38">
        <f>'T12'!N33+'T12'!R33</f>
        <v>114920</v>
      </c>
      <c r="P33" s="61">
        <f t="shared" si="4"/>
        <v>11891568</v>
      </c>
      <c r="Q33" s="42"/>
    </row>
    <row r="34" spans="1:17" s="26" customFormat="1" ht="12.75" x14ac:dyDescent="0.25">
      <c r="A34" s="29">
        <v>21</v>
      </c>
      <c r="B34" s="30" t="s">
        <v>94</v>
      </c>
      <c r="C34" s="31" t="s">
        <v>30</v>
      </c>
      <c r="D34" s="32">
        <f>'T1'!O31+'T1'!S31</f>
        <v>1838720</v>
      </c>
      <c r="E34" s="58">
        <f>'T2'!O34+'T2'!S34</f>
        <v>2539264</v>
      </c>
      <c r="F34" s="34">
        <f>'T3'!O34+'T3'!S34</f>
        <v>2539264</v>
      </c>
      <c r="G34" s="34">
        <f>'T4'!O34+'T4'!S34</f>
        <v>2539264</v>
      </c>
      <c r="H34" s="35">
        <f>'T5'!O34+'T5'!S34</f>
        <v>2539264</v>
      </c>
      <c r="I34" s="35">
        <f>'T6'!O34+'T6'!S34</f>
        <v>2539264</v>
      </c>
      <c r="J34" s="34">
        <f>'T7'!N34+'T7'!R34</f>
        <v>158704</v>
      </c>
      <c r="K34" s="37">
        <f>'T8'!N34+'T8'!R34</f>
        <v>158704</v>
      </c>
      <c r="L34" s="38">
        <f>'T9'!N34+'T9'!R34</f>
        <v>158704</v>
      </c>
      <c r="M34" s="39">
        <f>'T10'!N34+'T10'!R34</f>
        <v>158704</v>
      </c>
      <c r="N34" s="38">
        <f>'T11'!N34+'T11'!R34</f>
        <v>158704</v>
      </c>
      <c r="O34" s="38">
        <f>'T12'!N34+'T12'!R34</f>
        <v>158704</v>
      </c>
      <c r="P34" s="61">
        <f t="shared" si="4"/>
        <v>15487264</v>
      </c>
      <c r="Q34" s="42"/>
    </row>
    <row r="35" spans="1:17" s="26" customFormat="1" ht="12.75" x14ac:dyDescent="0.25">
      <c r="A35" s="29">
        <v>22</v>
      </c>
      <c r="B35" s="30" t="s">
        <v>95</v>
      </c>
      <c r="C35" s="31" t="s">
        <v>30</v>
      </c>
      <c r="D35" s="32">
        <f>'T1'!O32+'T1'!S32</f>
        <v>1838720</v>
      </c>
      <c r="E35" s="58">
        <f>'T2'!O35+'T2'!S35</f>
        <v>2108288</v>
      </c>
      <c r="F35" s="34">
        <f>'T3'!O35+'T3'!S35</f>
        <v>2108288</v>
      </c>
      <c r="G35" s="34">
        <f>'T4'!O35+'T4'!S35</f>
        <v>2108288</v>
      </c>
      <c r="H35" s="35">
        <f>'T5'!O35+'T5'!S35</f>
        <v>2108288</v>
      </c>
      <c r="I35" s="35">
        <f>'T6'!O35+'T6'!S35</f>
        <v>2108288</v>
      </c>
      <c r="J35" s="34">
        <f>'T7'!N35+'T7'!R35</f>
        <v>131768</v>
      </c>
      <c r="K35" s="37">
        <f>'T8'!N35+'T8'!R35</f>
        <v>131768</v>
      </c>
      <c r="L35" s="38">
        <f>'T9'!N35+'T9'!R35</f>
        <v>131768</v>
      </c>
      <c r="M35" s="39">
        <f>'T10'!N35+'T10'!R35</f>
        <v>131768</v>
      </c>
      <c r="N35" s="38">
        <f>'T11'!N35+'T11'!R35</f>
        <v>131768</v>
      </c>
      <c r="O35" s="38">
        <f>'T12'!N35+'T12'!R35</f>
        <v>131768</v>
      </c>
      <c r="P35" s="61">
        <f t="shared" si="4"/>
        <v>13170768</v>
      </c>
      <c r="Q35" s="42"/>
    </row>
    <row r="36" spans="1:17" s="26" customFormat="1" ht="12.75" x14ac:dyDescent="0.25">
      <c r="A36" s="29">
        <v>23</v>
      </c>
      <c r="B36" s="63" t="s">
        <v>99</v>
      </c>
      <c r="C36" s="31" t="s">
        <v>30</v>
      </c>
      <c r="D36" s="32">
        <f>'T1'!O33+'T1'!S33</f>
        <v>1838720</v>
      </c>
      <c r="E36" s="58">
        <f>'T2'!O36+'T2'!S36</f>
        <v>2108288</v>
      </c>
      <c r="F36" s="34">
        <f>'T3'!O36+'T3'!S36</f>
        <v>2108288</v>
      </c>
      <c r="G36" s="34">
        <f>'T4'!O36+'T4'!S36</f>
        <v>2108288</v>
      </c>
      <c r="H36" s="35">
        <f>'T5'!O36+'T5'!S36</f>
        <v>2108288</v>
      </c>
      <c r="I36" s="35">
        <f>'T6'!O36+'T6'!S36</f>
        <v>2108288</v>
      </c>
      <c r="J36" s="34">
        <f>'T7'!N36+'T7'!R36</f>
        <v>131768</v>
      </c>
      <c r="K36" s="37">
        <f>'T8'!N36+'T8'!R36</f>
        <v>131768</v>
      </c>
      <c r="L36" s="38">
        <f>'T9'!N36+'T9'!R36</f>
        <v>131768</v>
      </c>
      <c r="M36" s="39">
        <f>'T10'!N36+'T10'!R36</f>
        <v>131768</v>
      </c>
      <c r="N36" s="38">
        <f>'T11'!N36+'T11'!R36</f>
        <v>131768</v>
      </c>
      <c r="O36" s="38">
        <f>'T12'!N36+'T12'!R36</f>
        <v>131768</v>
      </c>
      <c r="P36" s="61">
        <f t="shared" si="4"/>
        <v>13170768</v>
      </c>
      <c r="Q36" s="42"/>
    </row>
    <row r="37" spans="1:17" s="26" customFormat="1" ht="25.5" x14ac:dyDescent="0.25">
      <c r="A37" s="29">
        <v>24</v>
      </c>
      <c r="B37" s="30" t="s">
        <v>102</v>
      </c>
      <c r="C37" s="31" t="s">
        <v>90</v>
      </c>
      <c r="D37" s="32">
        <f>'T1'!O34+'T1'!S34</f>
        <v>2539264</v>
      </c>
      <c r="E37" s="58">
        <f>'T2'!O43+'T2'!S43</f>
        <v>12791872</v>
      </c>
      <c r="F37" s="34">
        <f>'T3'!O43+'T3'!S43</f>
        <v>10032687</v>
      </c>
      <c r="G37" s="34">
        <f>'T4'!O43+'T4'!S43</f>
        <v>11596288</v>
      </c>
      <c r="H37" s="35">
        <f>'T5'!O43+'T5'!S43</f>
        <v>11596288</v>
      </c>
      <c r="I37" s="35">
        <f>'T6'!O43+'T6'!S43</f>
        <v>13611392</v>
      </c>
      <c r="J37" s="34">
        <f>'T7'!N37+'T7'!R37</f>
        <v>107744</v>
      </c>
      <c r="K37" s="37">
        <f>'T8'!N37+'T8'!R37</f>
        <v>107744</v>
      </c>
      <c r="L37" s="38">
        <f>'T9'!N37+'T9'!R37</f>
        <v>107744</v>
      </c>
      <c r="M37" s="39">
        <f>'T10'!N37+'T10'!R37</f>
        <v>107744</v>
      </c>
      <c r="N37" s="38">
        <f>'T11'!N37+'T11'!R37</f>
        <v>107744</v>
      </c>
      <c r="O37" s="38">
        <f>'T12'!N37+'T12'!R37</f>
        <v>107744</v>
      </c>
      <c r="P37" s="61">
        <f t="shared" si="4"/>
        <v>62814255</v>
      </c>
      <c r="Q37" s="42"/>
    </row>
    <row r="38" spans="1:17" s="26" customFormat="1" ht="12.75" x14ac:dyDescent="0.25">
      <c r="A38" s="29">
        <v>25</v>
      </c>
      <c r="B38" s="30" t="s">
        <v>103</v>
      </c>
      <c r="C38" s="31" t="s">
        <v>30</v>
      </c>
      <c r="D38" s="32" t="e">
        <f>'T1'!#REF!+'T1'!#REF!</f>
        <v>#REF!</v>
      </c>
      <c r="E38" s="58">
        <f>'T2'!O44+'T2'!S44</f>
        <v>1774528</v>
      </c>
      <c r="F38" s="34">
        <f>'T3'!O44+'T3'!S44</f>
        <v>1774528</v>
      </c>
      <c r="G38" s="34">
        <f>'T4'!O44+'T4'!S44</f>
        <v>1774528</v>
      </c>
      <c r="H38" s="35">
        <f>'T5'!O44+'T5'!S44</f>
        <v>1774528</v>
      </c>
      <c r="I38" s="35">
        <f>'T6'!O44+'T6'!S44</f>
        <v>1774528</v>
      </c>
      <c r="J38" s="34">
        <f>'T7'!N38+'T7'!R38</f>
        <v>0</v>
      </c>
      <c r="K38" s="37">
        <f>'T8'!N38+'T8'!R38</f>
        <v>0</v>
      </c>
      <c r="L38" s="38">
        <f>'T9'!N38+'T9'!R38</f>
        <v>0</v>
      </c>
      <c r="M38" s="39">
        <f>'T10'!N38+'T10'!R38</f>
        <v>0</v>
      </c>
      <c r="N38" s="38">
        <f>'T11'!N38+'T11'!R38</f>
        <v>0</v>
      </c>
      <c r="O38" s="38">
        <f>'T12'!N38+'T12'!R38</f>
        <v>0</v>
      </c>
      <c r="P38" s="61" t="e">
        <f t="shared" si="4"/>
        <v>#REF!</v>
      </c>
      <c r="Q38" s="42"/>
    </row>
    <row r="39" spans="1:17" s="26" customFormat="1" ht="12.75" x14ac:dyDescent="0.25">
      <c r="A39" s="29">
        <v>26</v>
      </c>
      <c r="B39" s="63" t="s">
        <v>104</v>
      </c>
      <c r="C39" s="31" t="s">
        <v>29</v>
      </c>
      <c r="D39" s="32">
        <f>'T1'!O35+'T1'!S35</f>
        <v>2108288</v>
      </c>
      <c r="E39" s="58">
        <f>'T2'!O45+'T2'!S45</f>
        <v>1937728</v>
      </c>
      <c r="F39" s="34">
        <f>'T3'!O45+'T3'!S45</f>
        <v>1937728</v>
      </c>
      <c r="G39" s="34">
        <f>'T4'!O45+'T4'!S45</f>
        <v>1937728</v>
      </c>
      <c r="H39" s="35">
        <f>'T5'!O45+'T5'!S45</f>
        <v>1937728</v>
      </c>
      <c r="I39" s="35">
        <f>'T6'!O45+'T6'!S45</f>
        <v>1937728</v>
      </c>
      <c r="J39" s="34">
        <f>'T7'!N43+'T7'!R43</f>
        <v>850712</v>
      </c>
      <c r="K39" s="37">
        <f>'T8'!N43+'T8'!R43</f>
        <v>724768</v>
      </c>
      <c r="L39" s="38">
        <f>'T9'!N43+'T9'!R43</f>
        <v>724768</v>
      </c>
      <c r="M39" s="39">
        <f>'T10'!N41+'T10'!R41</f>
        <v>114920</v>
      </c>
      <c r="N39" s="38">
        <f>'T11'!N41+'T11'!R41</f>
        <v>114920</v>
      </c>
      <c r="O39" s="38">
        <f>'T12'!N41+'T12'!R41</f>
        <v>114920</v>
      </c>
      <c r="P39" s="61">
        <f t="shared" si="4"/>
        <v>14441936</v>
      </c>
      <c r="Q39" s="42"/>
    </row>
    <row r="40" spans="1:17" s="53" customFormat="1" ht="12.75" x14ac:dyDescent="0.25">
      <c r="A40" s="92" t="s">
        <v>38</v>
      </c>
      <c r="B40" s="93"/>
      <c r="C40" s="94"/>
      <c r="D40" s="51" t="e">
        <f t="shared" ref="D40:O40" si="5">SUM(D41:D45)</f>
        <v>#REF!</v>
      </c>
      <c r="E40" s="51">
        <f t="shared" si="5"/>
        <v>67160010</v>
      </c>
      <c r="F40" s="51">
        <f t="shared" si="5"/>
        <v>61641640</v>
      </c>
      <c r="G40" s="51">
        <f t="shared" si="5"/>
        <v>64333888</v>
      </c>
      <c r="H40" s="51">
        <f t="shared" si="5"/>
        <v>66057792</v>
      </c>
      <c r="I40" s="51">
        <f t="shared" si="5"/>
        <v>68072896</v>
      </c>
      <c r="J40" s="51">
        <f t="shared" si="5"/>
        <v>487916</v>
      </c>
      <c r="K40" s="51">
        <f t="shared" si="5"/>
        <v>361972</v>
      </c>
      <c r="L40" s="51">
        <f t="shared" si="5"/>
        <v>361972</v>
      </c>
      <c r="M40" s="51">
        <f t="shared" si="5"/>
        <v>472880</v>
      </c>
      <c r="N40" s="51">
        <f t="shared" si="5"/>
        <v>472880</v>
      </c>
      <c r="O40" s="51">
        <f t="shared" si="5"/>
        <v>472880</v>
      </c>
      <c r="P40" s="51" t="e">
        <f>SUM(P41:P45)</f>
        <v>#REF!</v>
      </c>
      <c r="Q40" s="52"/>
    </row>
    <row r="41" spans="1:17" s="26" customFormat="1" ht="12.75" x14ac:dyDescent="0.25">
      <c r="A41" s="29">
        <v>27</v>
      </c>
      <c r="B41" s="30" t="s">
        <v>39</v>
      </c>
      <c r="C41" s="31" t="s">
        <v>40</v>
      </c>
      <c r="D41" s="32" t="e">
        <f>'T1'!#REF!+'T1'!#REF!</f>
        <v>#REF!</v>
      </c>
      <c r="E41" s="58">
        <f>'T2'!O47+'T2'!S47</f>
        <v>3210688</v>
      </c>
      <c r="F41" s="34">
        <f>'T3'!O47+'T3'!S47</f>
        <v>451503</v>
      </c>
      <c r="G41" s="34">
        <f>'T4'!O47+'T4'!S47</f>
        <v>0</v>
      </c>
      <c r="H41" s="35">
        <f>'T5'!O47+'T5'!S47</f>
        <v>0</v>
      </c>
      <c r="I41" s="35">
        <f>'T6'!O47+'T6'!S47</f>
        <v>0</v>
      </c>
      <c r="J41" s="34">
        <f>'T7'!N45+'T7'!R45</f>
        <v>121108</v>
      </c>
      <c r="K41" s="37">
        <f>'T8'!N45+'T8'!R45</f>
        <v>121108</v>
      </c>
      <c r="L41" s="38">
        <f>'T9'!N45+'T9'!R45</f>
        <v>121108</v>
      </c>
      <c r="M41" s="39">
        <f>'T10'!N44+'T10'!R44</f>
        <v>110908</v>
      </c>
      <c r="N41" s="38">
        <f>'T11'!N44+'T11'!R44</f>
        <v>110908</v>
      </c>
      <c r="O41" s="38">
        <f>'T12'!N44+'T12'!R44</f>
        <v>110908</v>
      </c>
      <c r="P41" s="61" t="e">
        <f t="shared" si="1"/>
        <v>#REF!</v>
      </c>
      <c r="Q41" s="42"/>
    </row>
    <row r="42" spans="1:17" s="26" customFormat="1" ht="12.75" x14ac:dyDescent="0.2">
      <c r="A42" s="29">
        <v>28</v>
      </c>
      <c r="B42" s="30" t="s">
        <v>42</v>
      </c>
      <c r="C42" s="31" t="s">
        <v>41</v>
      </c>
      <c r="D42" s="32">
        <f>'T1'!O44+'T1'!S44</f>
        <v>1774528</v>
      </c>
      <c r="E42" s="58">
        <f>'T2'!O48+'T2'!S48</f>
        <v>2015104</v>
      </c>
      <c r="F42" s="34">
        <f>'T3'!O48+'T3'!S48</f>
        <v>2015104</v>
      </c>
      <c r="G42" s="34">
        <f>'T4'!O48+'T4'!S48</f>
        <v>2015104</v>
      </c>
      <c r="H42" s="35">
        <f>'T5'!O48+'T5'!S48</f>
        <v>2015104</v>
      </c>
      <c r="I42" s="35">
        <f>'T6'!O48+'T6'!S48</f>
        <v>2015104</v>
      </c>
      <c r="J42" s="34">
        <f>'T7'!N46+'T7'!R46</f>
        <v>114920</v>
      </c>
      <c r="K42" s="37">
        <f>'T8'!N46+'T8'!R46</f>
        <v>114920</v>
      </c>
      <c r="L42" s="38">
        <f>'T9'!N46+'T9'!R46</f>
        <v>114920</v>
      </c>
      <c r="M42" s="39">
        <f>'T10'!N45+'T10'!R45</f>
        <v>121108</v>
      </c>
      <c r="N42" s="38">
        <f>'T11'!N46+'T11'!R46</f>
        <v>121108</v>
      </c>
      <c r="O42" s="38">
        <f>'T12'!N45+'T12'!R45</f>
        <v>121108</v>
      </c>
      <c r="P42" s="61">
        <f t="shared" ref="P42:P49" si="6">SUM(D42:O42)</f>
        <v>12558132</v>
      </c>
      <c r="Q42" s="49"/>
    </row>
    <row r="43" spans="1:17" s="26" customFormat="1" ht="12.75" x14ac:dyDescent="0.25">
      <c r="A43" s="29">
        <v>29</v>
      </c>
      <c r="B43" s="30" t="s">
        <v>79</v>
      </c>
      <c r="C43" s="31" t="s">
        <v>40</v>
      </c>
      <c r="D43" s="32">
        <f>'T1'!O45+'T1'!S45</f>
        <v>1937728</v>
      </c>
      <c r="E43" s="58">
        <f>'T2'!O49+'T2'!S49</f>
        <v>2015104</v>
      </c>
      <c r="F43" s="34">
        <f>'T3'!O49+'T3'!S49</f>
        <v>2015104</v>
      </c>
      <c r="G43" s="34">
        <f>'T4'!O49+'T4'!S49</f>
        <v>2015104</v>
      </c>
      <c r="H43" s="35">
        <f>'T5'!O49+'T5'!S49</f>
        <v>2015104</v>
      </c>
      <c r="I43" s="35">
        <f>'T6'!O49+'T6'!S49</f>
        <v>2015104</v>
      </c>
      <c r="J43" s="34">
        <f>'T7'!N47+'T7'!R47</f>
        <v>0</v>
      </c>
      <c r="K43" s="37">
        <f>'T8'!N47+'T8'!R47</f>
        <v>0</v>
      </c>
      <c r="L43" s="38">
        <f>'T9'!N47+'T9'!R47</f>
        <v>0</v>
      </c>
      <c r="M43" s="39">
        <f>'T10'!N46+'T10'!R46</f>
        <v>114920</v>
      </c>
      <c r="N43" s="38">
        <f>'T11'!N47+'T11'!R47</f>
        <v>114920</v>
      </c>
      <c r="O43" s="38">
        <f>'T12'!N46+'T12'!R46</f>
        <v>114920</v>
      </c>
      <c r="P43" s="61">
        <f t="shared" si="6"/>
        <v>12358008</v>
      </c>
      <c r="Q43" s="42"/>
    </row>
    <row r="44" spans="1:17" s="26" customFormat="1" ht="12.75" x14ac:dyDescent="0.25">
      <c r="A44" s="29">
        <v>30</v>
      </c>
      <c r="B44" s="30" t="s">
        <v>81</v>
      </c>
      <c r="C44" s="31" t="s">
        <v>41</v>
      </c>
      <c r="D44" s="32">
        <f>'T1'!O46+'T1'!S46</f>
        <v>1838720</v>
      </c>
      <c r="E44" s="58">
        <f>'T2'!O52+'T2'!S52</f>
        <v>59919114</v>
      </c>
      <c r="F44" s="34">
        <f>'T3'!O52+'T3'!S52</f>
        <v>57159929</v>
      </c>
      <c r="G44" s="34">
        <f>'T4'!O52+'T4'!S52</f>
        <v>60303680</v>
      </c>
      <c r="H44" s="35">
        <f>'T5'!O52+'T5'!S52</f>
        <v>62027584</v>
      </c>
      <c r="I44" s="35">
        <f>'T6'!O52+'T6'!S52</f>
        <v>64042688</v>
      </c>
      <c r="J44" s="34">
        <f>'T7'!N48+'T7'!R48</f>
        <v>125944</v>
      </c>
      <c r="K44" s="37">
        <f>'T8'!N48+'T8'!R48</f>
        <v>125944</v>
      </c>
      <c r="L44" s="38">
        <f>'T9'!N48+'T9'!R48</f>
        <v>125944</v>
      </c>
      <c r="M44" s="39">
        <f>'T10'!N47+'T10'!R47</f>
        <v>0</v>
      </c>
      <c r="N44" s="38">
        <f>'T11'!N48+'T11'!R48</f>
        <v>0</v>
      </c>
      <c r="O44" s="38">
        <f>'T12'!N47+'T12'!R47</f>
        <v>0</v>
      </c>
      <c r="P44" s="61">
        <f t="shared" si="6"/>
        <v>305669547</v>
      </c>
      <c r="Q44" s="42"/>
    </row>
    <row r="45" spans="1:17" s="26" customFormat="1" ht="12.75" x14ac:dyDescent="0.25">
      <c r="A45" s="29">
        <v>31</v>
      </c>
      <c r="B45" s="30" t="s">
        <v>97</v>
      </c>
      <c r="C45" s="31" t="s">
        <v>40</v>
      </c>
      <c r="D45" s="32" t="e">
        <f>'T1'!#REF!+'T1'!#REF!</f>
        <v>#REF!</v>
      </c>
      <c r="E45" s="58">
        <f>'T2'!O53+'T2'!S53</f>
        <v>0</v>
      </c>
      <c r="F45" s="34">
        <f>'T3'!O53+'T3'!S53</f>
        <v>0</v>
      </c>
      <c r="G45" s="34">
        <f>'T4'!O53+'T4'!S53</f>
        <v>0</v>
      </c>
      <c r="H45" s="35">
        <f>'T5'!O53+'T5'!S53</f>
        <v>0</v>
      </c>
      <c r="I45" s="35">
        <f>'T6'!O53+'T6'!S53</f>
        <v>0</v>
      </c>
      <c r="J45" s="34">
        <f>'T7'!N49+'T7'!R49</f>
        <v>125944</v>
      </c>
      <c r="K45" s="37">
        <f>'T8'!N49+'T8'!R49</f>
        <v>0</v>
      </c>
      <c r="L45" s="38">
        <f>'T9'!N49+'T9'!R49</f>
        <v>0</v>
      </c>
      <c r="M45" s="39">
        <f>'T10'!N48+'T10'!R48</f>
        <v>125944</v>
      </c>
      <c r="N45" s="38">
        <f>'T11'!N49+'T11'!R49</f>
        <v>125944</v>
      </c>
      <c r="O45" s="38">
        <f>'T12'!N48+'T12'!R48</f>
        <v>125944</v>
      </c>
      <c r="P45" s="61" t="e">
        <f t="shared" si="6"/>
        <v>#REF!</v>
      </c>
      <c r="Q45" s="42"/>
    </row>
    <row r="46" spans="1:17" s="26" customFormat="1" ht="12.75" x14ac:dyDescent="0.25">
      <c r="A46" s="29">
        <v>32</v>
      </c>
      <c r="B46" s="30" t="s">
        <v>98</v>
      </c>
      <c r="C46" s="31" t="s">
        <v>40</v>
      </c>
      <c r="D46" s="32" t="e">
        <f>'T1'!#REF!+'T1'!#REF!</f>
        <v>#REF!</v>
      </c>
      <c r="E46" s="58">
        <f>'T2'!O54+'T2'!S54</f>
        <v>0</v>
      </c>
      <c r="F46" s="34">
        <f>'T3'!O54+'T3'!S54</f>
        <v>0</v>
      </c>
      <c r="G46" s="34">
        <f>'T4'!O54+'T4'!S54</f>
        <v>0</v>
      </c>
      <c r="H46" s="35">
        <f>'T5'!O54+'T5'!S54</f>
        <v>0</v>
      </c>
      <c r="I46" s="35">
        <f>'T6'!O54+'T6'!S54</f>
        <v>0</v>
      </c>
      <c r="J46" s="34">
        <f>'T7'!N50+'T7'!R50</f>
        <v>125944</v>
      </c>
      <c r="K46" s="37">
        <f>'T8'!N50+'T8'!R50</f>
        <v>125944</v>
      </c>
      <c r="L46" s="38">
        <f>'T9'!N50+'T9'!R50</f>
        <v>125944</v>
      </c>
      <c r="M46" s="39">
        <f>'T10'!N49+'T10'!R49</f>
        <v>0</v>
      </c>
      <c r="N46" s="38">
        <f>'T11'!N50+'T11'!R50</f>
        <v>0</v>
      </c>
      <c r="O46" s="38">
        <f>'T12'!N49+'T12'!R49</f>
        <v>0</v>
      </c>
      <c r="P46" s="61" t="e">
        <f t="shared" si="6"/>
        <v>#REF!</v>
      </c>
      <c r="Q46" s="42"/>
    </row>
    <row r="47" spans="1:17" s="26" customFormat="1" ht="25.5" x14ac:dyDescent="0.25">
      <c r="A47" s="29">
        <v>33</v>
      </c>
      <c r="B47" s="30" t="s">
        <v>100</v>
      </c>
      <c r="C47" s="31" t="s">
        <v>101</v>
      </c>
      <c r="D47" s="32">
        <f>'T1'!O47+'T1'!S47</f>
        <v>3210688</v>
      </c>
      <c r="E47" s="58">
        <f>'T2'!O55+'T2'!S55</f>
        <v>0</v>
      </c>
      <c r="F47" s="34">
        <f>'T3'!O55+'T3'!S55</f>
        <v>0</v>
      </c>
      <c r="G47" s="34">
        <f>'T4'!O55+'T4'!S55</f>
        <v>0</v>
      </c>
      <c r="H47" s="35">
        <f>'T5'!O55+'T5'!S55</f>
        <v>0</v>
      </c>
      <c r="I47" s="35">
        <f>'T6'!O55+'T6'!S55</f>
        <v>0</v>
      </c>
      <c r="J47" s="34">
        <f>'T7'!N51+'T7'!R51</f>
        <v>125944</v>
      </c>
      <c r="K47" s="37">
        <f>'T8'!N51+'T8'!R51</f>
        <v>125944</v>
      </c>
      <c r="L47" s="38">
        <f>'T9'!N51+'T9'!R51</f>
        <v>125944</v>
      </c>
      <c r="M47" s="39">
        <f>'T10'!N50+'T10'!R50</f>
        <v>125944</v>
      </c>
      <c r="N47" s="38">
        <f>'T11'!N51+'T11'!R51</f>
        <v>125944</v>
      </c>
      <c r="O47" s="38">
        <f>'T12'!N50+'T12'!R50</f>
        <v>125944</v>
      </c>
      <c r="P47" s="61">
        <f t="shared" si="6"/>
        <v>3966352</v>
      </c>
      <c r="Q47" s="42"/>
    </row>
    <row r="48" spans="1:17" s="26" customFormat="1" ht="12.75" x14ac:dyDescent="0.25">
      <c r="A48" s="29">
        <v>34</v>
      </c>
      <c r="B48" s="64" t="s">
        <v>105</v>
      </c>
      <c r="C48" s="31" t="s">
        <v>40</v>
      </c>
      <c r="D48" s="32">
        <f>'T1'!O48+'T1'!S48</f>
        <v>2015104</v>
      </c>
      <c r="E48" s="58">
        <f>'T2'!O56+'T2'!S56</f>
        <v>0</v>
      </c>
      <c r="F48" s="34">
        <f>'T3'!O56+'T3'!S56</f>
        <v>0</v>
      </c>
      <c r="G48" s="34">
        <f>'T4'!O56+'T4'!S56</f>
        <v>3768980</v>
      </c>
      <c r="H48" s="35">
        <f>'T5'!O56+'T5'!S56</f>
        <v>7879392</v>
      </c>
      <c r="I48" s="35">
        <f>'T6'!O56+'T6'!S56</f>
        <v>0</v>
      </c>
      <c r="J48" s="34">
        <f>'T7'!N52+'T7'!R52</f>
        <v>4002668</v>
      </c>
      <c r="K48" s="37">
        <f>'T8'!N52+'T8'!R52</f>
        <v>4025340</v>
      </c>
      <c r="L48" s="38">
        <f>'T9'!N52+'T9'!R52</f>
        <v>4140260</v>
      </c>
      <c r="M48" s="39">
        <f>'T10'!N51+'T10'!R51</f>
        <v>125944</v>
      </c>
      <c r="N48" s="38">
        <f>'T11'!N52+'T11'!R52</f>
        <v>125944</v>
      </c>
      <c r="O48" s="38">
        <f>'T12'!N51+'T12'!R51</f>
        <v>125944</v>
      </c>
      <c r="P48" s="61">
        <f t="shared" si="6"/>
        <v>26209576</v>
      </c>
      <c r="Q48" s="42"/>
    </row>
    <row r="49" spans="1:17" s="26" customFormat="1" ht="12.75" x14ac:dyDescent="0.25">
      <c r="A49" s="29">
        <v>35</v>
      </c>
      <c r="B49" s="30" t="s">
        <v>106</v>
      </c>
      <c r="C49" s="31" t="s">
        <v>40</v>
      </c>
      <c r="D49" s="32">
        <f>'T1'!O49+'T1'!S49</f>
        <v>2015104</v>
      </c>
      <c r="E49" s="58">
        <f>'T2'!O57+'T2'!S57</f>
        <v>0</v>
      </c>
      <c r="F49" s="34">
        <f>'T3'!O57+'T3'!S57</f>
        <v>0</v>
      </c>
      <c r="G49" s="34">
        <f>'T4'!O57+'T4'!S57</f>
        <v>0</v>
      </c>
      <c r="H49" s="35">
        <f>'T5'!O57+'T5'!S57</f>
        <v>0</v>
      </c>
      <c r="I49" s="35">
        <f>'T6'!O57+'T6'!S57</f>
        <v>0</v>
      </c>
      <c r="J49" s="34" t="e">
        <f>'T7'!N53+'T7'!R53</f>
        <v>#VALUE!</v>
      </c>
      <c r="K49" s="37" t="e">
        <f>'T8'!N53+'T8'!R53</f>
        <v>#VALUE!</v>
      </c>
      <c r="L49" s="38" t="e">
        <f>'T9'!N53+'T9'!R53</f>
        <v>#VALUE!</v>
      </c>
      <c r="M49" s="39">
        <f>'T10'!N52+'T10'!R52</f>
        <v>4140260</v>
      </c>
      <c r="N49" s="38">
        <f>'T11'!N53+'T11'!R53</f>
        <v>4255180</v>
      </c>
      <c r="O49" s="38">
        <f>'T12'!N52+'T12'!R52</f>
        <v>4140260</v>
      </c>
      <c r="P49" s="61" t="e">
        <f t="shared" si="6"/>
        <v>#VALUE!</v>
      </c>
      <c r="Q49" s="42"/>
    </row>
    <row r="50" spans="1:17" s="26" customFormat="1" ht="12.75" x14ac:dyDescent="0.25">
      <c r="A50" s="95" t="s">
        <v>43</v>
      </c>
      <c r="B50" s="96"/>
      <c r="C50" s="46"/>
      <c r="D50" s="47" t="e">
        <f t="shared" ref="D50:P50" si="7">D11+D13+D15+D40</f>
        <v>#REF!</v>
      </c>
      <c r="E50" s="47">
        <f t="shared" si="7"/>
        <v>112178964</v>
      </c>
      <c r="F50" s="47">
        <f t="shared" si="7"/>
        <v>106660594</v>
      </c>
      <c r="G50" s="47">
        <f t="shared" si="7"/>
        <v>110932992</v>
      </c>
      <c r="H50" s="47">
        <f t="shared" si="7"/>
        <v>112656896</v>
      </c>
      <c r="I50" s="47">
        <f t="shared" si="7"/>
        <v>114672000</v>
      </c>
      <c r="J50" s="47">
        <f t="shared" si="7"/>
        <v>3400360</v>
      </c>
      <c r="K50" s="47">
        <f t="shared" si="7"/>
        <v>3159496</v>
      </c>
      <c r="L50" s="47">
        <f t="shared" si="7"/>
        <v>3159496</v>
      </c>
      <c r="M50" s="47">
        <f t="shared" si="7"/>
        <v>3270404</v>
      </c>
      <c r="N50" s="47">
        <f t="shared" si="7"/>
        <v>3270404</v>
      </c>
      <c r="O50" s="47">
        <f t="shared" si="7"/>
        <v>3270404</v>
      </c>
      <c r="P50" s="47" t="e">
        <f t="shared" si="7"/>
        <v>#REF!</v>
      </c>
      <c r="Q50" s="48"/>
    </row>
    <row r="51" spans="1:17" s="14" customFormat="1" ht="12.75" x14ac:dyDescent="0.25">
      <c r="A51" s="7"/>
      <c r="B51" s="7"/>
      <c r="C51" s="8"/>
      <c r="D51" s="9"/>
      <c r="E51" s="9"/>
      <c r="F51" s="9"/>
      <c r="G51" s="9"/>
      <c r="H51" s="9"/>
      <c r="I51" s="9"/>
      <c r="J51" s="60"/>
      <c r="K51" s="9"/>
      <c r="L51" s="9"/>
      <c r="M51" s="9"/>
      <c r="N51" s="60"/>
      <c r="O51" s="9"/>
      <c r="P51" s="9"/>
      <c r="Q51" s="15"/>
    </row>
    <row r="52" spans="1:17" s="17" customFormat="1" ht="12.75" x14ac:dyDescent="0.25">
      <c r="A52" s="16"/>
      <c r="B52" s="16"/>
      <c r="C52" s="16"/>
      <c r="D52" s="16"/>
      <c r="E52" s="16"/>
      <c r="F52" s="16"/>
      <c r="G52" s="16"/>
      <c r="H52" s="16"/>
      <c r="I52" s="16"/>
      <c r="K52" s="16"/>
      <c r="L52" s="16"/>
      <c r="M52" s="84" t="s">
        <v>82</v>
      </c>
      <c r="N52" s="84"/>
      <c r="O52" s="84"/>
      <c r="P52" s="84"/>
      <c r="Q52" s="16"/>
    </row>
    <row r="53" spans="1:17" s="17" customFormat="1" ht="12.75" x14ac:dyDescent="0.25">
      <c r="A53" s="10" t="s">
        <v>44</v>
      </c>
      <c r="B53" s="16"/>
      <c r="C53" s="16"/>
      <c r="D53" s="16"/>
      <c r="E53" s="10"/>
      <c r="F53" s="16"/>
      <c r="G53" s="97" t="s">
        <v>45</v>
      </c>
      <c r="H53" s="97"/>
      <c r="I53" s="16"/>
      <c r="J53" s="16"/>
      <c r="L53" s="10"/>
      <c r="M53" s="97" t="s">
        <v>46</v>
      </c>
      <c r="N53" s="97"/>
      <c r="O53" s="97"/>
      <c r="P53" s="97"/>
      <c r="Q53" s="16"/>
    </row>
    <row r="54" spans="1:17" s="17" customFormat="1" ht="12.75" x14ac:dyDescent="0.25">
      <c r="A54" s="11" t="s">
        <v>47</v>
      </c>
      <c r="B54" s="16"/>
      <c r="C54" s="16"/>
      <c r="D54" s="11"/>
      <c r="E54" s="11"/>
      <c r="F54" s="11"/>
      <c r="G54" s="84" t="s">
        <v>48</v>
      </c>
      <c r="H54" s="84"/>
      <c r="I54" s="16"/>
      <c r="J54" s="16"/>
      <c r="K54" s="16"/>
      <c r="L54" s="16"/>
      <c r="M54" s="84" t="s">
        <v>47</v>
      </c>
      <c r="N54" s="84"/>
      <c r="O54" s="84"/>
      <c r="P54" s="84"/>
      <c r="Q54" s="16"/>
    </row>
    <row r="55" spans="1:17" s="17" customFormat="1" ht="12.7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6"/>
      <c r="B57" s="16"/>
      <c r="C57" s="16"/>
      <c r="D57" s="16"/>
      <c r="E57" s="16"/>
      <c r="F57" s="19"/>
      <c r="G57" s="16"/>
      <c r="H57" s="16"/>
      <c r="I57" s="16"/>
      <c r="J57" s="18"/>
      <c r="K57" s="20"/>
      <c r="L57" s="21"/>
      <c r="N57" s="16"/>
      <c r="O57" s="16"/>
      <c r="P57" s="16"/>
      <c r="Q57" s="12"/>
    </row>
    <row r="58" spans="1:17" x14ac:dyDescent="0.25">
      <c r="J58" s="22"/>
      <c r="K58" s="23"/>
      <c r="L58" s="24"/>
    </row>
    <row r="59" spans="1:17" x14ac:dyDescent="0.25">
      <c r="J59" s="22"/>
    </row>
    <row r="60" spans="1:17" x14ac:dyDescent="0.25">
      <c r="I60" s="25"/>
    </row>
    <row r="61" spans="1:17" x14ac:dyDescent="0.25">
      <c r="D61" s="23"/>
      <c r="F61" s="22"/>
      <c r="G61" s="23"/>
    </row>
    <row r="62" spans="1:17" x14ac:dyDescent="0.25">
      <c r="F62" s="27"/>
    </row>
    <row r="64" spans="1:17" x14ac:dyDescent="0.25">
      <c r="M64" s="23"/>
    </row>
  </sheetData>
  <mergeCells count="18">
    <mergeCell ref="A5:Q5"/>
    <mergeCell ref="A6:Q6"/>
    <mergeCell ref="A8:A9"/>
    <mergeCell ref="B8:B9"/>
    <mergeCell ref="C8:C9"/>
    <mergeCell ref="D8:O8"/>
    <mergeCell ref="P8:P9"/>
    <mergeCell ref="Q8:Q9"/>
    <mergeCell ref="G54:H54"/>
    <mergeCell ref="M54:P54"/>
    <mergeCell ref="A11:C11"/>
    <mergeCell ref="A15:C15"/>
    <mergeCell ref="A40:C40"/>
    <mergeCell ref="A50:B50"/>
    <mergeCell ref="M52:P52"/>
    <mergeCell ref="G53:H53"/>
    <mergeCell ref="M53:P53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25" workbookViewId="0">
      <pane xSplit="4" topLeftCell="I1" activePane="topRight" state="frozen"/>
      <selection activeCell="A7" sqref="A7"/>
      <selection pane="topRight" activeCell="A41" sqref="A41:XFD42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2.285156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14.140625" style="13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114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112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>SUM(S12:S12)</f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2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>SUM(S14:S14)</f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 t="shared" si="2"/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 t="shared" ref="D15:R15" si="5">SUM(D16:D36)</f>
        <v>126975400</v>
      </c>
      <c r="E15" s="51">
        <f t="shared" si="5"/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>SUM(J16:J36)</f>
        <v>163905710.35450003</v>
      </c>
      <c r="K15" s="51">
        <f t="shared" si="5"/>
        <v>399384710.35449988</v>
      </c>
      <c r="L15" s="51">
        <f t="shared" si="5"/>
        <v>9698352</v>
      </c>
      <c r="M15" s="51">
        <f t="shared" si="5"/>
        <v>1904631</v>
      </c>
      <c r="N15" s="51">
        <f t="shared" si="5"/>
        <v>1212294</v>
      </c>
      <c r="O15" s="51">
        <f t="shared" si="5"/>
        <v>12815277</v>
      </c>
      <c r="P15" s="51">
        <f t="shared" si="5"/>
        <v>21215145</v>
      </c>
      <c r="Q15" s="51">
        <f t="shared" si="5"/>
        <v>3809262</v>
      </c>
      <c r="R15" s="51">
        <f t="shared" si="5"/>
        <v>1212294</v>
      </c>
      <c r="S15" s="51">
        <f>SUM(S16:S36)</f>
        <v>26236701</v>
      </c>
      <c r="T15" s="51">
        <f>SUM(T16:T36)</f>
        <v>386569433.35449988</v>
      </c>
      <c r="U15" s="51">
        <f t="shared" ref="U15" si="6">SUM(U16:U35)</f>
        <v>0</v>
      </c>
      <c r="V15" s="51">
        <f>SUM(V16:V36)</f>
        <v>384054710.35449988</v>
      </c>
      <c r="W15" s="51">
        <f t="shared" ref="W15:Y15" si="7">SUM(W16:W36)</f>
        <v>231000000</v>
      </c>
      <c r="X15" s="51">
        <f t="shared" si="7"/>
        <v>96800000</v>
      </c>
      <c r="Y15" s="51">
        <f t="shared" si="7"/>
        <v>68007081.226500005</v>
      </c>
      <c r="Z15" s="51">
        <f>SUM(Z16:Z36)</f>
        <v>4280977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9455796.5285</v>
      </c>
      <c r="K16" s="36">
        <f>F16+G16+H16+I16+J16</f>
        <v>20168596.528499998</v>
      </c>
      <c r="L16" s="37">
        <f t="shared" ref="L16:L36" si="8">D16*8%</f>
        <v>501600</v>
      </c>
      <c r="M16" s="38">
        <f t="shared" ref="M16:M36" si="9">D16*1.5%</f>
        <v>94050</v>
      </c>
      <c r="N16" s="39">
        <f t="shared" ref="N16:N36" si="10">D16*1%</f>
        <v>62700</v>
      </c>
      <c r="O16" s="40">
        <f t="shared" ref="O16:O34" si="11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6" si="12">P16+Q16+R16</f>
        <v>1348050</v>
      </c>
      <c r="T16" s="41">
        <f>K16-O16</f>
        <v>19510246.528499998</v>
      </c>
      <c r="U16" s="42"/>
      <c r="V16" s="70">
        <f t="shared" si="2"/>
        <v>19438596.528499998</v>
      </c>
      <c r="W16" s="71">
        <v>11000000</v>
      </c>
      <c r="X16" s="71"/>
      <c r="Y16" s="71">
        <f>MAX(V16-O16-W16-X16,0)</f>
        <v>7780246.5284999982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528025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3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8104968.4529999997</v>
      </c>
      <c r="K17" s="36">
        <f t="shared" ref="K17:K36" si="14">F17+G17+H17+I17+J17</f>
        <v>18292168.453000002</v>
      </c>
      <c r="L17" s="37">
        <f t="shared" si="8"/>
        <v>459552</v>
      </c>
      <c r="M17" s="38">
        <f t="shared" si="9"/>
        <v>86166</v>
      </c>
      <c r="N17" s="39">
        <f t="shared" si="10"/>
        <v>57444</v>
      </c>
      <c r="O17" s="40">
        <f t="shared" si="11"/>
        <v>603162</v>
      </c>
      <c r="P17" s="38">
        <f t="shared" ref="P17:P34" si="15">D17*17.5%</f>
        <v>1005269.9999999999</v>
      </c>
      <c r="Q17" s="38">
        <f t="shared" ref="Q17:Q36" si="16">D17*3%</f>
        <v>172332</v>
      </c>
      <c r="R17" s="38">
        <f t="shared" ref="R17:R36" si="17">D17*1%</f>
        <v>57444</v>
      </c>
      <c r="S17" s="40">
        <f t="shared" si="12"/>
        <v>1235046</v>
      </c>
      <c r="T17" s="41">
        <f t="shared" ref="T17:T24" si="18">K17-O17</f>
        <v>17689006.453000002</v>
      </c>
      <c r="U17" s="42"/>
      <c r="V17" s="70">
        <f t="shared" si="2"/>
        <v>17562168.453000002</v>
      </c>
      <c r="W17" s="71">
        <v>11000000</v>
      </c>
      <c r="X17" s="71">
        <f>4400000</f>
        <v>4400000</v>
      </c>
      <c r="Y17" s="71">
        <f t="shared" ref="Y17:Y49" si="19">MAX(V17-O17-W17-X17,0)</f>
        <v>1559006.4530000016</v>
      </c>
      <c r="Z17" s="71">
        <f t="shared" ref="Z17:Z49" si="20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77950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3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8104968.4529999997</v>
      </c>
      <c r="K18" s="36">
        <f t="shared" si="14"/>
        <v>18292168.453000002</v>
      </c>
      <c r="L18" s="37">
        <f t="shared" si="8"/>
        <v>459552</v>
      </c>
      <c r="M18" s="38">
        <f t="shared" si="9"/>
        <v>86166</v>
      </c>
      <c r="N18" s="39">
        <f t="shared" si="10"/>
        <v>57444</v>
      </c>
      <c r="O18" s="40">
        <f t="shared" si="11"/>
        <v>603162</v>
      </c>
      <c r="P18" s="38">
        <f t="shared" si="15"/>
        <v>1005269.9999999999</v>
      </c>
      <c r="Q18" s="38">
        <f t="shared" si="16"/>
        <v>172332</v>
      </c>
      <c r="R18" s="38">
        <f t="shared" si="17"/>
        <v>57444</v>
      </c>
      <c r="S18" s="40">
        <f t="shared" si="12"/>
        <v>1235046</v>
      </c>
      <c r="T18" s="41">
        <f t="shared" si="18"/>
        <v>17689006.453000002</v>
      </c>
      <c r="U18" s="42"/>
      <c r="V18" s="70">
        <f t="shared" si="2"/>
        <v>17562168.453000002</v>
      </c>
      <c r="W18" s="71">
        <v>11000000</v>
      </c>
      <c r="X18" s="71">
        <f>4400000</f>
        <v>4400000</v>
      </c>
      <c r="Y18" s="71">
        <f t="shared" si="19"/>
        <v>1559006.4530000016</v>
      </c>
      <c r="Z18" s="71">
        <f t="shared" si="20"/>
        <v>77950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5403312.3020000001</v>
      </c>
      <c r="K19" s="36">
        <f t="shared" si="14"/>
        <v>16761712.302000001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5"/>
        <v>970444.99999999988</v>
      </c>
      <c r="Q19" s="38">
        <f>D19*3%</f>
        <v>166362</v>
      </c>
      <c r="R19" s="38">
        <f t="shared" si="17"/>
        <v>55454</v>
      </c>
      <c r="S19" s="40">
        <f>P19+Q19+R19</f>
        <v>1192261</v>
      </c>
      <c r="T19" s="41">
        <f>K19-O19</f>
        <v>16179445.302000001</v>
      </c>
      <c r="U19" s="42"/>
      <c r="V19" s="70">
        <f t="shared" si="2"/>
        <v>16031712.302000001</v>
      </c>
      <c r="W19" s="71">
        <v>11000000</v>
      </c>
      <c r="X19" s="71"/>
      <c r="Y19" s="71">
        <f t="shared" si="19"/>
        <v>4449445.3020000011</v>
      </c>
      <c r="Z19" s="71">
        <f t="shared" si="20"/>
        <v>222472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11695396.375</v>
      </c>
      <c r="K20" s="36">
        <f t="shared" si="14"/>
        <v>22408196.375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5"/>
        <v>1097250</v>
      </c>
      <c r="Q20" s="38">
        <f>D20*3%</f>
        <v>188100</v>
      </c>
      <c r="R20" s="38">
        <f t="shared" si="17"/>
        <v>62700</v>
      </c>
      <c r="S20" s="40">
        <f>P20+Q20+R20</f>
        <v>1348050</v>
      </c>
      <c r="T20" s="41">
        <f>K20-O20</f>
        <v>21749846.375</v>
      </c>
      <c r="U20" s="42"/>
      <c r="V20" s="70">
        <f t="shared" si="2"/>
        <v>21678196.375</v>
      </c>
      <c r="W20" s="71">
        <v>11000000</v>
      </c>
      <c r="X20" s="71">
        <f>4400000*2</f>
        <v>8800000</v>
      </c>
      <c r="Y20" s="71">
        <f t="shared" si="19"/>
        <v>1219846.375</v>
      </c>
      <c r="Z20" s="71">
        <f t="shared" si="20"/>
        <v>60992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>F21+G21</f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5403312.3020000001</v>
      </c>
      <c r="K21" s="36">
        <f t="shared" si="14"/>
        <v>16962312.302000001</v>
      </c>
      <c r="L21" s="37"/>
      <c r="M21" s="38">
        <f t="shared" si="9"/>
        <v>86190</v>
      </c>
      <c r="N21" s="39"/>
      <c r="O21" s="40">
        <f t="shared" si="11"/>
        <v>86190</v>
      </c>
      <c r="P21" s="38"/>
      <c r="Q21" s="38">
        <f t="shared" si="16"/>
        <v>172380</v>
      </c>
      <c r="R21" s="38"/>
      <c r="S21" s="40">
        <f t="shared" si="12"/>
        <v>172380</v>
      </c>
      <c r="T21" s="41">
        <f t="shared" si="18"/>
        <v>16876122.302000001</v>
      </c>
      <c r="U21" s="42"/>
      <c r="V21" s="70">
        <f t="shared" si="2"/>
        <v>16232312.302000001</v>
      </c>
      <c r="W21" s="71">
        <v>11000000</v>
      </c>
      <c r="X21" s="71">
        <f>4400000</f>
        <v>4400000</v>
      </c>
      <c r="Y21" s="71">
        <f t="shared" si="19"/>
        <v>746122.30200000107</v>
      </c>
      <c r="Z21" s="71">
        <f t="shared" si="20"/>
        <v>37306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3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5403312.3020000001</v>
      </c>
      <c r="K22" s="36">
        <f t="shared" si="14"/>
        <v>16962312.302000001</v>
      </c>
      <c r="L22" s="37">
        <f t="shared" si="8"/>
        <v>459680</v>
      </c>
      <c r="M22" s="38">
        <f t="shared" si="9"/>
        <v>86190</v>
      </c>
      <c r="N22" s="39">
        <f t="shared" si="10"/>
        <v>57460</v>
      </c>
      <c r="O22" s="40">
        <f t="shared" si="11"/>
        <v>603330</v>
      </c>
      <c r="P22" s="38">
        <f t="shared" si="15"/>
        <v>1005549.9999999999</v>
      </c>
      <c r="Q22" s="38">
        <f t="shared" si="16"/>
        <v>172380</v>
      </c>
      <c r="R22" s="38">
        <f t="shared" si="17"/>
        <v>57460</v>
      </c>
      <c r="S22" s="40">
        <f t="shared" si="12"/>
        <v>1235390</v>
      </c>
      <c r="T22" s="41">
        <f t="shared" si="18"/>
        <v>16358982.302000001</v>
      </c>
      <c r="U22" s="42"/>
      <c r="V22" s="70">
        <f t="shared" si="2"/>
        <v>16232312.302000001</v>
      </c>
      <c r="W22" s="71">
        <v>11000000</v>
      </c>
      <c r="X22" s="71"/>
      <c r="Y22" s="71">
        <f t="shared" si="19"/>
        <v>4628982.3020000011</v>
      </c>
      <c r="Z22" s="71">
        <f t="shared" si="20"/>
        <v>231449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3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5403312.3020000001</v>
      </c>
      <c r="K23" s="36">
        <f t="shared" si="14"/>
        <v>16962312.302000001</v>
      </c>
      <c r="L23" s="37">
        <f t="shared" si="8"/>
        <v>459680</v>
      </c>
      <c r="M23" s="38">
        <f t="shared" si="9"/>
        <v>86190</v>
      </c>
      <c r="N23" s="39">
        <f t="shared" si="10"/>
        <v>57460</v>
      </c>
      <c r="O23" s="40">
        <f t="shared" si="11"/>
        <v>603330</v>
      </c>
      <c r="P23" s="38">
        <f t="shared" si="15"/>
        <v>1005549.9999999999</v>
      </c>
      <c r="Q23" s="38">
        <f t="shared" si="16"/>
        <v>172380</v>
      </c>
      <c r="R23" s="38">
        <f t="shared" si="17"/>
        <v>57460</v>
      </c>
      <c r="S23" s="40">
        <f t="shared" si="12"/>
        <v>1235390</v>
      </c>
      <c r="T23" s="41">
        <f t="shared" si="18"/>
        <v>16358982.302000001</v>
      </c>
      <c r="U23" s="42"/>
      <c r="V23" s="70">
        <f t="shared" si="2"/>
        <v>16232312.302000001</v>
      </c>
      <c r="W23" s="71">
        <v>11000000</v>
      </c>
      <c r="X23" s="71"/>
      <c r="Y23" s="71">
        <f t="shared" si="19"/>
        <v>4628982.3020000011</v>
      </c>
      <c r="Z23" s="71">
        <f t="shared" si="20"/>
        <v>231449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3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8104968.4529999997</v>
      </c>
      <c r="K24" s="36">
        <f t="shared" si="14"/>
        <v>18824168.453000002</v>
      </c>
      <c r="L24" s="37">
        <f t="shared" si="8"/>
        <v>502112</v>
      </c>
      <c r="M24" s="38">
        <f t="shared" si="9"/>
        <v>94146</v>
      </c>
      <c r="N24" s="39">
        <f t="shared" si="10"/>
        <v>62764</v>
      </c>
      <c r="O24" s="40">
        <f t="shared" si="11"/>
        <v>659022</v>
      </c>
      <c r="P24" s="38">
        <f t="shared" si="15"/>
        <v>1098370</v>
      </c>
      <c r="Q24" s="38">
        <f t="shared" si="16"/>
        <v>188292</v>
      </c>
      <c r="R24" s="38">
        <f t="shared" si="17"/>
        <v>62764</v>
      </c>
      <c r="S24" s="40">
        <f t="shared" si="12"/>
        <v>1349426</v>
      </c>
      <c r="T24" s="41">
        <f t="shared" si="18"/>
        <v>18165146.453000002</v>
      </c>
      <c r="U24" s="42"/>
      <c r="V24" s="70">
        <f t="shared" si="2"/>
        <v>18094168.453000002</v>
      </c>
      <c r="W24" s="71">
        <v>11000000</v>
      </c>
      <c r="X24" s="71">
        <f>4400000*2</f>
        <v>8800000</v>
      </c>
      <c r="Y24" s="71">
        <f t="shared" si="19"/>
        <v>0</v>
      </c>
      <c r="Z24" s="71">
        <f t="shared" si="20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3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7017237.8250000002</v>
      </c>
      <c r="K25" s="36">
        <f t="shared" si="14"/>
        <v>18576237.824999999</v>
      </c>
      <c r="L25" s="37">
        <f t="shared" si="8"/>
        <v>459680</v>
      </c>
      <c r="M25" s="38">
        <f t="shared" si="9"/>
        <v>86190</v>
      </c>
      <c r="N25" s="39">
        <f t="shared" si="10"/>
        <v>57460</v>
      </c>
      <c r="O25" s="40">
        <f t="shared" si="11"/>
        <v>603330</v>
      </c>
      <c r="P25" s="38">
        <f t="shared" si="15"/>
        <v>1005549.9999999999</v>
      </c>
      <c r="Q25" s="38">
        <f t="shared" si="16"/>
        <v>172380</v>
      </c>
      <c r="R25" s="38">
        <f t="shared" si="17"/>
        <v>57460</v>
      </c>
      <c r="S25" s="40">
        <f t="shared" si="12"/>
        <v>1235390</v>
      </c>
      <c r="T25" s="41">
        <f>K25-O25</f>
        <v>17972907.824999999</v>
      </c>
      <c r="U25" s="42"/>
      <c r="V25" s="70">
        <f t="shared" si="2"/>
        <v>17846237.824999999</v>
      </c>
      <c r="W25" s="71">
        <v>11000000</v>
      </c>
      <c r="X25" s="71"/>
      <c r="Y25" s="71">
        <f t="shared" si="19"/>
        <v>6242907.8249999993</v>
      </c>
      <c r="Z25" s="71">
        <f t="shared" si="20"/>
        <v>374291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3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5403312.3020000001</v>
      </c>
      <c r="K26" s="36">
        <f t="shared" si="14"/>
        <v>16962312.302000001</v>
      </c>
      <c r="L26" s="37">
        <f t="shared" si="8"/>
        <v>459680</v>
      </c>
      <c r="M26" s="38">
        <f t="shared" si="9"/>
        <v>86190</v>
      </c>
      <c r="N26" s="39">
        <f t="shared" si="10"/>
        <v>57460</v>
      </c>
      <c r="O26" s="40">
        <f t="shared" si="11"/>
        <v>603330</v>
      </c>
      <c r="P26" s="38">
        <f t="shared" si="15"/>
        <v>1005549.9999999999</v>
      </c>
      <c r="Q26" s="38">
        <f t="shared" si="16"/>
        <v>172380</v>
      </c>
      <c r="R26" s="38">
        <f t="shared" si="17"/>
        <v>57460</v>
      </c>
      <c r="S26" s="40">
        <f t="shared" si="12"/>
        <v>1235390</v>
      </c>
      <c r="T26" s="41">
        <f>K26-O26</f>
        <v>16358982.302000001</v>
      </c>
      <c r="U26" s="42"/>
      <c r="V26" s="70">
        <f t="shared" si="2"/>
        <v>16232312.302000001</v>
      </c>
      <c r="W26" s="71">
        <v>11000000</v>
      </c>
      <c r="X26" s="71"/>
      <c r="Y26" s="71">
        <f t="shared" si="19"/>
        <v>4628982.3020000011</v>
      </c>
      <c r="Z26" s="71">
        <f t="shared" si="20"/>
        <v>231449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3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7017237.8250000002</v>
      </c>
      <c r="K27" s="36">
        <f t="shared" si="14"/>
        <v>18576237.824999999</v>
      </c>
      <c r="L27" s="37">
        <f t="shared" si="8"/>
        <v>459680</v>
      </c>
      <c r="M27" s="38">
        <f t="shared" si="9"/>
        <v>86190</v>
      </c>
      <c r="N27" s="39">
        <f t="shared" si="10"/>
        <v>57460</v>
      </c>
      <c r="O27" s="40">
        <f t="shared" si="11"/>
        <v>603330</v>
      </c>
      <c r="P27" s="38">
        <f t="shared" si="15"/>
        <v>1005549.9999999999</v>
      </c>
      <c r="Q27" s="38">
        <f t="shared" si="16"/>
        <v>172380</v>
      </c>
      <c r="R27" s="38">
        <f t="shared" si="17"/>
        <v>57460</v>
      </c>
      <c r="S27" s="40">
        <f t="shared" si="12"/>
        <v>1235390</v>
      </c>
      <c r="T27" s="41">
        <f t="shared" ref="T27" si="21">K27-O27</f>
        <v>17972907.824999999</v>
      </c>
      <c r="U27" s="42"/>
      <c r="V27" s="70">
        <f t="shared" si="2"/>
        <v>17846237.824999999</v>
      </c>
      <c r="W27" s="71">
        <v>11000000</v>
      </c>
      <c r="X27" s="71">
        <f>4400000*2</f>
        <v>8800000</v>
      </c>
      <c r="Y27" s="71">
        <f t="shared" si="19"/>
        <v>0</v>
      </c>
      <c r="Z27" s="71">
        <f t="shared" si="20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3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7017237.8250000002</v>
      </c>
      <c r="K28" s="36">
        <f t="shared" si="14"/>
        <v>18576237.824999999</v>
      </c>
      <c r="L28" s="37">
        <f t="shared" si="8"/>
        <v>459680</v>
      </c>
      <c r="M28" s="38">
        <f t="shared" si="9"/>
        <v>86190</v>
      </c>
      <c r="N28" s="39">
        <f t="shared" si="10"/>
        <v>57460</v>
      </c>
      <c r="O28" s="40">
        <f t="shared" si="11"/>
        <v>603330</v>
      </c>
      <c r="P28" s="38">
        <f t="shared" si="15"/>
        <v>1005549.9999999999</v>
      </c>
      <c r="Q28" s="38">
        <f t="shared" si="16"/>
        <v>172380</v>
      </c>
      <c r="R28" s="38">
        <f t="shared" si="17"/>
        <v>57460</v>
      </c>
      <c r="S28" s="40">
        <f t="shared" si="12"/>
        <v>1235390</v>
      </c>
      <c r="T28" s="41">
        <f>K28-O28</f>
        <v>17972907.824999999</v>
      </c>
      <c r="U28" s="42"/>
      <c r="V28" s="70">
        <f t="shared" si="2"/>
        <v>17846237.824999999</v>
      </c>
      <c r="W28" s="71">
        <v>11000000</v>
      </c>
      <c r="X28" s="71">
        <f>4400000*2</f>
        <v>8800000</v>
      </c>
      <c r="Y28" s="71">
        <f t="shared" si="19"/>
        <v>0</v>
      </c>
      <c r="Z28" s="71">
        <f t="shared" si="20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3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11695396.375</v>
      </c>
      <c r="K29" s="36">
        <f t="shared" si="14"/>
        <v>22414596.375</v>
      </c>
      <c r="L29" s="37">
        <f t="shared" si="8"/>
        <v>502112</v>
      </c>
      <c r="M29" s="38">
        <f t="shared" si="9"/>
        <v>94146</v>
      </c>
      <c r="N29" s="39">
        <f t="shared" si="10"/>
        <v>62764</v>
      </c>
      <c r="O29" s="40">
        <f t="shared" si="11"/>
        <v>659022</v>
      </c>
      <c r="P29" s="38">
        <f t="shared" si="15"/>
        <v>1098370</v>
      </c>
      <c r="Q29" s="38">
        <f t="shared" si="16"/>
        <v>188292</v>
      </c>
      <c r="R29" s="38">
        <f t="shared" si="17"/>
        <v>62764</v>
      </c>
      <c r="S29" s="40">
        <f t="shared" si="12"/>
        <v>1349426</v>
      </c>
      <c r="T29" s="41">
        <f t="shared" ref="T29:T30" si="22">K29-O29</f>
        <v>21755574.375</v>
      </c>
      <c r="U29" s="42"/>
      <c r="V29" s="70">
        <f t="shared" si="2"/>
        <v>21684596.375</v>
      </c>
      <c r="W29" s="71">
        <v>11000000</v>
      </c>
      <c r="X29" s="71">
        <f>4400000*3</f>
        <v>13200000</v>
      </c>
      <c r="Y29" s="71">
        <f t="shared" si="19"/>
        <v>0</v>
      </c>
      <c r="Z29" s="71">
        <f t="shared" si="20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3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11695396.375</v>
      </c>
      <c r="K30" s="36">
        <f t="shared" si="14"/>
        <v>22414596.375</v>
      </c>
      <c r="L30" s="37">
        <f t="shared" si="8"/>
        <v>502112</v>
      </c>
      <c r="M30" s="38">
        <f t="shared" si="9"/>
        <v>94146</v>
      </c>
      <c r="N30" s="39">
        <f t="shared" si="10"/>
        <v>62764</v>
      </c>
      <c r="O30" s="40">
        <f t="shared" si="11"/>
        <v>659022</v>
      </c>
      <c r="P30" s="38">
        <f t="shared" si="15"/>
        <v>1098370</v>
      </c>
      <c r="Q30" s="38">
        <f t="shared" si="16"/>
        <v>188292</v>
      </c>
      <c r="R30" s="38">
        <f t="shared" si="17"/>
        <v>62764</v>
      </c>
      <c r="S30" s="40">
        <f t="shared" si="12"/>
        <v>1349426</v>
      </c>
      <c r="T30" s="41">
        <f t="shared" si="22"/>
        <v>21755574.375</v>
      </c>
      <c r="U30" s="42"/>
      <c r="V30" s="70">
        <f t="shared" si="2"/>
        <v>21684596.375</v>
      </c>
      <c r="W30" s="71">
        <v>11000000</v>
      </c>
      <c r="X30" s="71">
        <f>4400000</f>
        <v>4400000</v>
      </c>
      <c r="Y30" s="71">
        <f t="shared" si="19"/>
        <v>5625574.375</v>
      </c>
      <c r="Z30" s="71">
        <f t="shared" si="20"/>
        <v>312557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3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7017237.8250000002</v>
      </c>
      <c r="K31" s="36">
        <f t="shared" si="14"/>
        <v>18576237.824999999</v>
      </c>
      <c r="L31" s="37">
        <f t="shared" si="8"/>
        <v>459680</v>
      </c>
      <c r="M31" s="38">
        <f t="shared" si="9"/>
        <v>86190</v>
      </c>
      <c r="N31" s="39">
        <f t="shared" si="10"/>
        <v>57460</v>
      </c>
      <c r="O31" s="40">
        <f t="shared" si="11"/>
        <v>603330</v>
      </c>
      <c r="P31" s="38">
        <f t="shared" si="15"/>
        <v>1005549.9999999999</v>
      </c>
      <c r="Q31" s="38">
        <f t="shared" si="16"/>
        <v>172380</v>
      </c>
      <c r="R31" s="38">
        <f t="shared" si="17"/>
        <v>57460</v>
      </c>
      <c r="S31" s="40">
        <f t="shared" si="12"/>
        <v>1235390</v>
      </c>
      <c r="T31" s="41">
        <f>K31-O31</f>
        <v>17972907.824999999</v>
      </c>
      <c r="U31" s="42"/>
      <c r="V31" s="70">
        <f t="shared" si="2"/>
        <v>17846237.824999999</v>
      </c>
      <c r="W31" s="71">
        <v>11000000</v>
      </c>
      <c r="X31" s="71">
        <f>4400000*3</f>
        <v>13200000</v>
      </c>
      <c r="Y31" s="71">
        <f t="shared" si="19"/>
        <v>0</v>
      </c>
      <c r="Z31" s="71">
        <f t="shared" si="20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3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7017237.8250000002</v>
      </c>
      <c r="K32" s="36">
        <f t="shared" si="14"/>
        <v>18576237.824999999</v>
      </c>
      <c r="L32" s="37">
        <f t="shared" si="8"/>
        <v>459680</v>
      </c>
      <c r="M32" s="38">
        <f t="shared" si="9"/>
        <v>86190</v>
      </c>
      <c r="N32" s="39">
        <f t="shared" si="10"/>
        <v>57460</v>
      </c>
      <c r="O32" s="40">
        <f t="shared" si="11"/>
        <v>603330</v>
      </c>
      <c r="P32" s="38">
        <f t="shared" si="15"/>
        <v>1005549.9999999999</v>
      </c>
      <c r="Q32" s="38">
        <f t="shared" si="16"/>
        <v>172380</v>
      </c>
      <c r="R32" s="38">
        <f t="shared" si="17"/>
        <v>57460</v>
      </c>
      <c r="S32" s="40">
        <f t="shared" si="12"/>
        <v>1235390</v>
      </c>
      <c r="T32" s="41">
        <f>K32-O32</f>
        <v>17972907.824999999</v>
      </c>
      <c r="U32" s="42"/>
      <c r="V32" s="70">
        <f t="shared" si="2"/>
        <v>17846237.824999999</v>
      </c>
      <c r="W32" s="71">
        <v>11000000</v>
      </c>
      <c r="X32" s="71">
        <f>4400000*3</f>
        <v>13200000</v>
      </c>
      <c r="Y32" s="71">
        <f t="shared" si="19"/>
        <v>0</v>
      </c>
      <c r="Z32" s="71">
        <f t="shared" si="20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3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5403312.3020000001</v>
      </c>
      <c r="K33" s="36">
        <f t="shared" si="14"/>
        <v>16962312.302000001</v>
      </c>
      <c r="L33" s="37">
        <f t="shared" si="8"/>
        <v>459680</v>
      </c>
      <c r="M33" s="38">
        <f t="shared" si="9"/>
        <v>86190</v>
      </c>
      <c r="N33" s="39">
        <f t="shared" si="10"/>
        <v>57460</v>
      </c>
      <c r="O33" s="40">
        <f t="shared" si="11"/>
        <v>603330</v>
      </c>
      <c r="P33" s="38">
        <f t="shared" si="15"/>
        <v>1005549.9999999999</v>
      </c>
      <c r="Q33" s="38">
        <f t="shared" si="16"/>
        <v>172380</v>
      </c>
      <c r="R33" s="38">
        <f t="shared" si="17"/>
        <v>57460</v>
      </c>
      <c r="S33" s="40">
        <f t="shared" si="12"/>
        <v>1235390</v>
      </c>
      <c r="T33" s="41">
        <f>K33-O33</f>
        <v>16358982.302000001</v>
      </c>
      <c r="U33" s="42"/>
      <c r="V33" s="70">
        <f t="shared" si="2"/>
        <v>16232312.302000001</v>
      </c>
      <c r="W33" s="71">
        <v>11000000</v>
      </c>
      <c r="X33" s="71"/>
      <c r="Y33" s="71">
        <f t="shared" si="19"/>
        <v>4628982.3020000011</v>
      </c>
      <c r="Z33" s="71">
        <f t="shared" si="20"/>
        <v>231449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3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14034475.65</v>
      </c>
      <c r="K34" s="36">
        <f t="shared" si="14"/>
        <v>26545075.649999999</v>
      </c>
      <c r="L34" s="37">
        <f t="shared" si="8"/>
        <v>634816</v>
      </c>
      <c r="M34" s="38">
        <f t="shared" si="9"/>
        <v>119028</v>
      </c>
      <c r="N34" s="39">
        <f t="shared" si="10"/>
        <v>79352</v>
      </c>
      <c r="O34" s="40">
        <f t="shared" si="11"/>
        <v>833196</v>
      </c>
      <c r="P34" s="38">
        <f t="shared" si="15"/>
        <v>1388660</v>
      </c>
      <c r="Q34" s="38">
        <f t="shared" si="16"/>
        <v>238056</v>
      </c>
      <c r="R34" s="38">
        <f t="shared" si="17"/>
        <v>79352</v>
      </c>
      <c r="S34" s="40">
        <f t="shared" si="12"/>
        <v>1706068</v>
      </c>
      <c r="T34" s="41">
        <f>K34-O34</f>
        <v>25711879.649999999</v>
      </c>
      <c r="U34" s="42"/>
      <c r="V34" s="70">
        <f t="shared" si="2"/>
        <v>25815075.649999999</v>
      </c>
      <c r="W34" s="71">
        <v>11000000</v>
      </c>
      <c r="X34" s="71"/>
      <c r="Y34" s="71">
        <f t="shared" si="19"/>
        <v>13981879.649999999</v>
      </c>
      <c r="Z34" s="71">
        <f t="shared" si="20"/>
        <v>1347282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13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5403312.3020000001</v>
      </c>
      <c r="K35" s="36">
        <f t="shared" si="14"/>
        <v>16434512.302000001</v>
      </c>
      <c r="L35" s="37">
        <f t="shared" si="8"/>
        <v>527072</v>
      </c>
      <c r="M35" s="38">
        <f t="shared" si="9"/>
        <v>98826</v>
      </c>
      <c r="N35" s="39">
        <f t="shared" si="10"/>
        <v>65884</v>
      </c>
      <c r="O35" s="40">
        <f>L35+M35+N35</f>
        <v>691782</v>
      </c>
      <c r="P35" s="38">
        <f>D35*17.5%</f>
        <v>1152970</v>
      </c>
      <c r="Q35" s="38">
        <f t="shared" si="16"/>
        <v>197652</v>
      </c>
      <c r="R35" s="38">
        <f t="shared" si="17"/>
        <v>65884</v>
      </c>
      <c r="S35" s="40">
        <f t="shared" si="12"/>
        <v>1416506</v>
      </c>
      <c r="T35" s="41">
        <f t="shared" ref="T35:T36" si="23">K35-O35</f>
        <v>15742730.302000001</v>
      </c>
      <c r="U35" s="42"/>
      <c r="V35" s="70">
        <f t="shared" si="2"/>
        <v>15704512.302000001</v>
      </c>
      <c r="W35" s="71">
        <v>11000000</v>
      </c>
      <c r="X35" s="71"/>
      <c r="Y35" s="71">
        <f t="shared" si="19"/>
        <v>4012730.3020000011</v>
      </c>
      <c r="Z35" s="71">
        <f t="shared" si="20"/>
        <v>200637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13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8104968.4529999997</v>
      </c>
      <c r="K36" s="36">
        <f t="shared" si="14"/>
        <v>19136168.453000002</v>
      </c>
      <c r="L36" s="37">
        <f t="shared" si="8"/>
        <v>527072</v>
      </c>
      <c r="M36" s="38">
        <f t="shared" si="9"/>
        <v>98826</v>
      </c>
      <c r="N36" s="39">
        <f t="shared" si="10"/>
        <v>65884</v>
      </c>
      <c r="O36" s="40">
        <f>L36+M36+N36</f>
        <v>691782</v>
      </c>
      <c r="P36" s="38">
        <f>D36*17.5%</f>
        <v>1152970</v>
      </c>
      <c r="Q36" s="38">
        <f t="shared" si="16"/>
        <v>197652</v>
      </c>
      <c r="R36" s="38">
        <f t="shared" si="17"/>
        <v>65884</v>
      </c>
      <c r="S36" s="40">
        <f t="shared" si="12"/>
        <v>1416506</v>
      </c>
      <c r="T36" s="41">
        <f t="shared" si="23"/>
        <v>18444386.453000002</v>
      </c>
      <c r="U36" s="42"/>
      <c r="V36" s="70">
        <f t="shared" si="2"/>
        <v>18406168.453000002</v>
      </c>
      <c r="W36" s="71">
        <v>11000000</v>
      </c>
      <c r="X36" s="71">
        <f>4400000</f>
        <v>4400000</v>
      </c>
      <c r="Y36" s="71">
        <f t="shared" si="19"/>
        <v>2314386.4530000016</v>
      </c>
      <c r="Z36" s="71">
        <f t="shared" si="20"/>
        <v>115719</v>
      </c>
    </row>
    <row r="37" spans="1:26" s="53" customFormat="1" ht="21.75" customHeight="1" x14ac:dyDescent="0.25">
      <c r="A37" s="62"/>
      <c r="B37" s="63"/>
      <c r="C37" s="45"/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70"/>
      <c r="W37" s="71"/>
      <c r="X37" s="71"/>
      <c r="Y37" s="71"/>
      <c r="Z37" s="71"/>
    </row>
    <row r="38" spans="1:26" s="53" customFormat="1" ht="21.75" customHeight="1" x14ac:dyDescent="0.25">
      <c r="A38" s="62"/>
      <c r="B38" s="63"/>
      <c r="C38" s="45"/>
      <c r="D38" s="32"/>
      <c r="E38" s="33"/>
      <c r="F38" s="34"/>
      <c r="G38" s="34"/>
      <c r="H38" s="35"/>
      <c r="I38" s="35"/>
      <c r="J38" s="35"/>
      <c r="K38" s="36"/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 t="shared" ref="D43:U43" si="24">SUM(D44:D49)</f>
        <v>39974600</v>
      </c>
      <c r="E43" s="51">
        <f t="shared" si="24"/>
        <v>156</v>
      </c>
      <c r="F43" s="51">
        <f t="shared" si="24"/>
        <v>33030200</v>
      </c>
      <c r="G43" s="51">
        <f t="shared" si="24"/>
        <v>6944400</v>
      </c>
      <c r="H43" s="51">
        <f t="shared" si="24"/>
        <v>22763000</v>
      </c>
      <c r="I43" s="51">
        <f t="shared" si="24"/>
        <v>4380000</v>
      </c>
      <c r="J43" s="51">
        <f t="shared" si="24"/>
        <v>0</v>
      </c>
      <c r="K43" s="51">
        <f t="shared" si="24"/>
        <v>67117600</v>
      </c>
      <c r="L43" s="51">
        <f t="shared" si="24"/>
        <v>3197968</v>
      </c>
      <c r="M43" s="51">
        <f t="shared" si="24"/>
        <v>599619</v>
      </c>
      <c r="N43" s="51">
        <f t="shared" si="24"/>
        <v>399746</v>
      </c>
      <c r="O43" s="51">
        <f t="shared" si="24"/>
        <v>4197333</v>
      </c>
      <c r="P43" s="51">
        <f t="shared" si="24"/>
        <v>6995555</v>
      </c>
      <c r="Q43" s="51">
        <f t="shared" si="24"/>
        <v>1199238</v>
      </c>
      <c r="R43" s="51">
        <f t="shared" si="24"/>
        <v>399746</v>
      </c>
      <c r="S43" s="51">
        <f>SUM(S44:S49)</f>
        <v>8594539</v>
      </c>
      <c r="T43" s="51">
        <f>SUM(T44:T49)</f>
        <v>62920267</v>
      </c>
      <c r="U43" s="51">
        <f t="shared" si="24"/>
        <v>0</v>
      </c>
      <c r="V43" s="51">
        <f>SUM(V44:V49)</f>
        <v>62737600</v>
      </c>
      <c r="W43" s="51">
        <f t="shared" ref="W43:Z43" si="25">SUM(W44:W49)</f>
        <v>66000000</v>
      </c>
      <c r="X43" s="51">
        <f t="shared" si="25"/>
        <v>4400000</v>
      </c>
      <c r="Y43" s="51">
        <f t="shared" si="25"/>
        <v>1869493</v>
      </c>
      <c r="Z43" s="51">
        <f t="shared" si="25"/>
        <v>93475</v>
      </c>
    </row>
    <row r="44" spans="1:26" s="26" customFormat="1" ht="17.25" customHeight="1" x14ac:dyDescent="0.25">
      <c r="A44" s="29">
        <v>24</v>
      </c>
      <c r="B44" s="30" t="s">
        <v>42</v>
      </c>
      <c r="C44" s="31" t="s">
        <v>41</v>
      </c>
      <c r="D44" s="43">
        <f t="shared" ref="D44:D49" si="26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49" si="27">D44*8%</f>
        <v>443632</v>
      </c>
      <c r="M44" s="38">
        <f t="shared" ref="M44:M49" si="28">D44*1.5%</f>
        <v>83181</v>
      </c>
      <c r="N44" s="39">
        <f t="shared" ref="N44:N49" si="29">D44*1%</f>
        <v>55454</v>
      </c>
      <c r="O44" s="40">
        <f t="shared" ref="O44:O49" si="30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49" si="31">P44+Q44+R44</f>
        <v>1192261</v>
      </c>
      <c r="T44" s="41">
        <f>K44-O44</f>
        <v>9450133</v>
      </c>
      <c r="U44" s="42"/>
      <c r="V44" s="70">
        <f t="shared" si="2"/>
        <v>9302400</v>
      </c>
      <c r="W44" s="71">
        <v>11000000</v>
      </c>
      <c r="X44" s="71"/>
      <c r="Y44" s="71">
        <f t="shared" si="19"/>
        <v>0</v>
      </c>
      <c r="Z44" s="71">
        <f t="shared" si="20"/>
        <v>0</v>
      </c>
    </row>
    <row r="45" spans="1:26" s="26" customFormat="1" ht="17.25" customHeight="1" x14ac:dyDescent="0.25">
      <c r="A45" s="29">
        <v>25</v>
      </c>
      <c r="B45" s="30" t="s">
        <v>79</v>
      </c>
      <c r="C45" s="31" t="s">
        <v>40</v>
      </c>
      <c r="D45" s="43">
        <f t="shared" si="26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49" si="32">F45+G45+H45+I45+J45</f>
        <v>10542400</v>
      </c>
      <c r="L45" s="37">
        <f t="shared" si="27"/>
        <v>484432</v>
      </c>
      <c r="M45" s="38">
        <f t="shared" si="28"/>
        <v>90831</v>
      </c>
      <c r="N45" s="39">
        <f t="shared" si="29"/>
        <v>60554</v>
      </c>
      <c r="O45" s="40">
        <f t="shared" si="30"/>
        <v>635817</v>
      </c>
      <c r="P45" s="38">
        <f t="shared" ref="P45:P48" si="33">D45*17.5%</f>
        <v>1059695</v>
      </c>
      <c r="Q45" s="38">
        <f t="shared" ref="Q45:Q49" si="34">D45*3%</f>
        <v>181662</v>
      </c>
      <c r="R45" s="38">
        <f t="shared" ref="R45:R49" si="35">D45*1%</f>
        <v>60554</v>
      </c>
      <c r="S45" s="40">
        <f t="shared" si="31"/>
        <v>1301911</v>
      </c>
      <c r="T45" s="41">
        <f t="shared" ref="T45:T46" si="36">K45-O45</f>
        <v>9906583</v>
      </c>
      <c r="U45" s="42"/>
      <c r="V45" s="70">
        <f t="shared" si="2"/>
        <v>9812400</v>
      </c>
      <c r="W45" s="71">
        <v>11000000</v>
      </c>
      <c r="X45" s="71">
        <f>4400000</f>
        <v>4400000</v>
      </c>
      <c r="Y45" s="71">
        <f t="shared" si="19"/>
        <v>0</v>
      </c>
      <c r="Z45" s="71">
        <f t="shared" si="20"/>
        <v>0</v>
      </c>
    </row>
    <row r="46" spans="1:26" s="14" customFormat="1" ht="19.5" customHeight="1" x14ac:dyDescent="0.25">
      <c r="A46" s="29">
        <v>26</v>
      </c>
      <c r="B46" s="30" t="s">
        <v>81</v>
      </c>
      <c r="C46" s="31" t="s">
        <v>41</v>
      </c>
      <c r="D46" s="43">
        <f t="shared" si="26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2"/>
        <v>10233000</v>
      </c>
      <c r="L46" s="37">
        <f t="shared" si="27"/>
        <v>459680</v>
      </c>
      <c r="M46" s="38">
        <f t="shared" si="28"/>
        <v>86190</v>
      </c>
      <c r="N46" s="39">
        <f t="shared" si="29"/>
        <v>57460</v>
      </c>
      <c r="O46" s="40">
        <f t="shared" si="30"/>
        <v>603330</v>
      </c>
      <c r="P46" s="38">
        <f t="shared" si="33"/>
        <v>1005549.9999999999</v>
      </c>
      <c r="Q46" s="38">
        <f t="shared" si="34"/>
        <v>172380</v>
      </c>
      <c r="R46" s="38">
        <f t="shared" si="35"/>
        <v>57460</v>
      </c>
      <c r="S46" s="40">
        <f t="shared" si="31"/>
        <v>1235390</v>
      </c>
      <c r="T46" s="41">
        <f t="shared" si="36"/>
        <v>9629670</v>
      </c>
      <c r="U46" s="42"/>
      <c r="V46" s="70">
        <f t="shared" si="2"/>
        <v>9503000</v>
      </c>
      <c r="W46" s="71">
        <v>11000000</v>
      </c>
      <c r="X46" s="71"/>
      <c r="Y46" s="71">
        <f t="shared" si="19"/>
        <v>0</v>
      </c>
      <c r="Z46" s="71">
        <f t="shared" si="20"/>
        <v>0</v>
      </c>
    </row>
    <row r="47" spans="1:26" s="14" customFormat="1" ht="19.5" customHeight="1" x14ac:dyDescent="0.25">
      <c r="A47" s="62">
        <v>27</v>
      </c>
      <c r="B47" s="30" t="s">
        <v>100</v>
      </c>
      <c r="C47" s="31" t="s">
        <v>117</v>
      </c>
      <c r="D47" s="43">
        <f t="shared" si="26"/>
        <v>10033400</v>
      </c>
      <c r="E47" s="33">
        <v>26</v>
      </c>
      <c r="F47" s="34">
        <v>8840000</v>
      </c>
      <c r="G47" s="34">
        <v>1193400</v>
      </c>
      <c r="H47" s="35">
        <v>3889600</v>
      </c>
      <c r="I47" s="35">
        <v>730000</v>
      </c>
      <c r="J47" s="35"/>
      <c r="K47" s="36">
        <f t="shared" si="32"/>
        <v>14653000</v>
      </c>
      <c r="L47" s="37">
        <f t="shared" si="27"/>
        <v>802672</v>
      </c>
      <c r="M47" s="38">
        <f t="shared" si="28"/>
        <v>150501</v>
      </c>
      <c r="N47" s="39">
        <f t="shared" si="29"/>
        <v>100334</v>
      </c>
      <c r="O47" s="40">
        <f t="shared" si="30"/>
        <v>1053507</v>
      </c>
      <c r="P47" s="38">
        <f t="shared" si="33"/>
        <v>1755845</v>
      </c>
      <c r="Q47" s="38">
        <f t="shared" si="34"/>
        <v>301002</v>
      </c>
      <c r="R47" s="38">
        <f t="shared" si="35"/>
        <v>100334</v>
      </c>
      <c r="S47" s="40">
        <f t="shared" si="31"/>
        <v>2157181</v>
      </c>
      <c r="T47" s="41">
        <f>K47-O47</f>
        <v>13599493</v>
      </c>
      <c r="U47" s="42"/>
      <c r="V47" s="70">
        <f t="shared" si="2"/>
        <v>13923000</v>
      </c>
      <c r="W47" s="71">
        <v>11000000</v>
      </c>
      <c r="X47" s="71"/>
      <c r="Y47" s="71">
        <f>MAX(V47-O47-W47-X47,0)</f>
        <v>1869493</v>
      </c>
      <c r="Z47" s="71">
        <f t="shared" si="20"/>
        <v>93475</v>
      </c>
    </row>
    <row r="48" spans="1:26" s="14" customFormat="1" ht="19.5" customHeight="1" x14ac:dyDescent="0.25">
      <c r="A48" s="29">
        <v>28</v>
      </c>
      <c r="B48" s="64" t="s">
        <v>105</v>
      </c>
      <c r="C48" s="31" t="s">
        <v>40</v>
      </c>
      <c r="D48" s="43">
        <f t="shared" si="26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2"/>
        <v>10828400</v>
      </c>
      <c r="L48" s="37">
        <f t="shared" si="27"/>
        <v>503776</v>
      </c>
      <c r="M48" s="38">
        <f t="shared" si="28"/>
        <v>94458</v>
      </c>
      <c r="N48" s="39">
        <f t="shared" si="29"/>
        <v>62972</v>
      </c>
      <c r="O48" s="40">
        <f t="shared" si="30"/>
        <v>661206</v>
      </c>
      <c r="P48" s="38">
        <f t="shared" si="33"/>
        <v>1102010</v>
      </c>
      <c r="Q48" s="38">
        <f t="shared" si="34"/>
        <v>188916</v>
      </c>
      <c r="R48" s="38">
        <f t="shared" si="35"/>
        <v>62972</v>
      </c>
      <c r="S48" s="40">
        <f t="shared" si="31"/>
        <v>1353898</v>
      </c>
      <c r="T48" s="41">
        <f>K48-O48</f>
        <v>10167194</v>
      </c>
      <c r="U48" s="42"/>
      <c r="V48" s="70">
        <f t="shared" si="2"/>
        <v>10098400</v>
      </c>
      <c r="W48" s="71">
        <v>11000000</v>
      </c>
      <c r="X48" s="71"/>
      <c r="Y48" s="71">
        <f t="shared" si="19"/>
        <v>0</v>
      </c>
      <c r="Z48" s="71">
        <f t="shared" si="20"/>
        <v>0</v>
      </c>
    </row>
    <row r="49" spans="1:26" s="14" customFormat="1" ht="19.5" customHeight="1" x14ac:dyDescent="0.25">
      <c r="A49" s="62">
        <v>29</v>
      </c>
      <c r="B49" s="30" t="s">
        <v>106</v>
      </c>
      <c r="C49" s="31" t="s">
        <v>40</v>
      </c>
      <c r="D49" s="43">
        <f t="shared" si="26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32"/>
        <v>10828400</v>
      </c>
      <c r="L49" s="37">
        <f t="shared" si="27"/>
        <v>503776</v>
      </c>
      <c r="M49" s="38">
        <f t="shared" si="28"/>
        <v>94458</v>
      </c>
      <c r="N49" s="39">
        <f t="shared" si="29"/>
        <v>62972</v>
      </c>
      <c r="O49" s="40">
        <f t="shared" si="30"/>
        <v>661206</v>
      </c>
      <c r="P49" s="38">
        <f>D49*17.5%</f>
        <v>1102010</v>
      </c>
      <c r="Q49" s="38">
        <f t="shared" si="34"/>
        <v>188916</v>
      </c>
      <c r="R49" s="38">
        <f t="shared" si="35"/>
        <v>62972</v>
      </c>
      <c r="S49" s="40">
        <f t="shared" si="31"/>
        <v>1353898</v>
      </c>
      <c r="T49" s="41">
        <f>K49-O49</f>
        <v>10167194</v>
      </c>
      <c r="U49" s="42"/>
      <c r="V49" s="70">
        <f t="shared" si="2"/>
        <v>10098400</v>
      </c>
      <c r="W49" s="71">
        <v>11000000</v>
      </c>
      <c r="X49" s="71"/>
      <c r="Y49" s="71">
        <f t="shared" si="19"/>
        <v>0</v>
      </c>
      <c r="Z49" s="71">
        <f t="shared" si="20"/>
        <v>0</v>
      </c>
    </row>
    <row r="50" spans="1:26" s="14" customFormat="1" ht="19.5" customHeight="1" x14ac:dyDescent="0.25">
      <c r="A50" s="62"/>
      <c r="B50" s="64"/>
      <c r="C50" s="31"/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70"/>
      <c r="W50" s="71"/>
      <c r="X50" s="71"/>
      <c r="Y50" s="71"/>
      <c r="Z50" s="71"/>
    </row>
    <row r="51" spans="1:26" s="14" customFormat="1" ht="19.5" customHeight="1" x14ac:dyDescent="0.25">
      <c r="A51" s="62"/>
      <c r="B51" s="64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70"/>
      <c r="W51" s="71"/>
      <c r="X51" s="71"/>
      <c r="Y51" s="71"/>
      <c r="Z51" s="71"/>
    </row>
    <row r="52" spans="1:26" s="14" customFormat="1" ht="17.25" customHeight="1" x14ac:dyDescent="0.25">
      <c r="A52" s="95" t="s">
        <v>43</v>
      </c>
      <c r="B52" s="96"/>
      <c r="C52" s="46"/>
      <c r="D52" s="47">
        <f t="shared" ref="D52:U52" si="37">D11+D13+D15+D43</f>
        <v>192185200</v>
      </c>
      <c r="E52" s="47">
        <f t="shared" si="37"/>
        <v>754</v>
      </c>
      <c r="F52" s="47">
        <f t="shared" si="37"/>
        <v>158175600</v>
      </c>
      <c r="G52" s="47">
        <f t="shared" si="37"/>
        <v>34009600</v>
      </c>
      <c r="H52" s="47">
        <f t="shared" si="37"/>
        <v>119870400</v>
      </c>
      <c r="I52" s="47">
        <f t="shared" si="37"/>
        <v>20440000</v>
      </c>
      <c r="J52" s="47">
        <f t="shared" si="37"/>
        <v>163905710.35450003</v>
      </c>
      <c r="K52" s="47">
        <f t="shared" si="37"/>
        <v>483236110.35449988</v>
      </c>
      <c r="L52" s="47">
        <f>L11+L13+L15+L43</f>
        <v>14915136</v>
      </c>
      <c r="M52" s="47">
        <f t="shared" si="37"/>
        <v>2882778</v>
      </c>
      <c r="N52" s="47">
        <f t="shared" si="37"/>
        <v>1864392</v>
      </c>
      <c r="O52" s="47">
        <f t="shared" si="37"/>
        <v>19662306</v>
      </c>
      <c r="P52" s="47">
        <f t="shared" si="37"/>
        <v>32626860</v>
      </c>
      <c r="Q52" s="47">
        <f t="shared" si="37"/>
        <v>5765556</v>
      </c>
      <c r="R52" s="47">
        <f t="shared" si="37"/>
        <v>1864392</v>
      </c>
      <c r="S52" s="47">
        <f t="shared" si="37"/>
        <v>40256808</v>
      </c>
      <c r="T52" s="47">
        <f>T11+T13+T15+T43</f>
        <v>464956150.35449988</v>
      </c>
      <c r="U52" s="47">
        <f t="shared" si="37"/>
        <v>0</v>
      </c>
      <c r="V52" s="47">
        <f>V11+V13+V15+V43</f>
        <v>462796110.35449988</v>
      </c>
      <c r="W52" s="47">
        <f t="shared" ref="W52:Y52" si="38">W11+W13+W15+W43</f>
        <v>308000000</v>
      </c>
      <c r="X52" s="47">
        <f t="shared" si="38"/>
        <v>101200000</v>
      </c>
      <c r="Y52" s="47">
        <f t="shared" si="38"/>
        <v>73613024.226500005</v>
      </c>
      <c r="Z52" s="47">
        <f>Z11+Z13+Z15+Z43</f>
        <v>4561275</v>
      </c>
    </row>
    <row r="53" spans="1:26" s="17" customFormat="1" ht="12.7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115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2.75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2.75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2.7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2.75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U8:U9"/>
    <mergeCell ref="J8:J9"/>
    <mergeCell ref="N53:T53"/>
    <mergeCell ref="N54:T54"/>
    <mergeCell ref="N55:T55"/>
    <mergeCell ref="A11:C11"/>
    <mergeCell ref="A15:C15"/>
    <mergeCell ref="A13:C13"/>
    <mergeCell ref="A43:C43"/>
    <mergeCell ref="A52:B52"/>
    <mergeCell ref="W8:W9"/>
    <mergeCell ref="X8:X9"/>
    <mergeCell ref="Y8:Y9"/>
    <mergeCell ref="Z8:Z9"/>
    <mergeCell ref="V8:V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28" workbookViewId="0">
      <pane xSplit="4" topLeftCell="H1" activePane="topRight" state="frozen"/>
      <selection activeCell="A7" sqref="A7"/>
      <selection pane="topRight" activeCell="A41" sqref="A41:XFD42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8554687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10.7109375" style="13" bestFit="1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116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112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2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 t="shared" si="3"/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 t="shared" si="2"/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SUM(D16:D36)</f>
        <v>126975400</v>
      </c>
      <c r="E15" s="51">
        <f t="shared" ref="E15:V15" si="5">SUM(E16:E36)</f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 t="shared" si="5"/>
        <v>148448873.07300004</v>
      </c>
      <c r="K15" s="51">
        <f t="shared" si="5"/>
        <v>383927873.07300007</v>
      </c>
      <c r="L15" s="51">
        <f t="shared" si="5"/>
        <v>9698352</v>
      </c>
      <c r="M15" s="51">
        <f t="shared" si="5"/>
        <v>1904631</v>
      </c>
      <c r="N15" s="51">
        <f t="shared" si="5"/>
        <v>1212294</v>
      </c>
      <c r="O15" s="51">
        <f>SUM(O16:O36)</f>
        <v>12815277</v>
      </c>
      <c r="P15" s="51">
        <f t="shared" si="5"/>
        <v>21215145</v>
      </c>
      <c r="Q15" s="51">
        <f t="shared" si="5"/>
        <v>3809262</v>
      </c>
      <c r="R15" s="51">
        <f t="shared" si="5"/>
        <v>1212294</v>
      </c>
      <c r="S15" s="51">
        <f>SUM(S16:S36)</f>
        <v>26236701</v>
      </c>
      <c r="T15" s="51">
        <f>SUM(T16:T36)</f>
        <v>371112596.07300007</v>
      </c>
      <c r="U15" s="51">
        <f t="shared" si="5"/>
        <v>0</v>
      </c>
      <c r="V15" s="51">
        <f t="shared" si="5"/>
        <v>368597873.07300007</v>
      </c>
      <c r="W15" s="51">
        <f t="shared" ref="W15:X15" si="6">SUM(W16:W36)</f>
        <v>231000000</v>
      </c>
      <c r="X15" s="51">
        <f t="shared" si="6"/>
        <v>96800000</v>
      </c>
      <c r="Y15" s="51">
        <f>SUM(Y16:Y36)</f>
        <v>60471410.519999996</v>
      </c>
      <c r="Z15" s="51">
        <f>SUM(Z16:Z36)</f>
        <v>3559818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9384800.523</v>
      </c>
      <c r="K16" s="36">
        <f>F16+G16+H16+I16+J16</f>
        <v>20097600.523000002</v>
      </c>
      <c r="L16" s="37">
        <f t="shared" ref="L16:L36" si="7">D16*8%</f>
        <v>501600</v>
      </c>
      <c r="M16" s="38">
        <f t="shared" ref="M16:M36" si="8">D16*1.5%</f>
        <v>94050</v>
      </c>
      <c r="N16" s="39">
        <f t="shared" ref="N16:N36" si="9">D16*1%</f>
        <v>62700</v>
      </c>
      <c r="O16" s="40">
        <f t="shared" ref="O16:O34" si="10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6" si="11">P16+Q16+R16</f>
        <v>1348050</v>
      </c>
      <c r="T16" s="41">
        <f>K16-O16</f>
        <v>19439250.523000002</v>
      </c>
      <c r="U16" s="42"/>
      <c r="V16" s="70">
        <f t="shared" si="2"/>
        <v>19367600.523000002</v>
      </c>
      <c r="W16" s="71">
        <v>11000000</v>
      </c>
      <c r="X16" s="71"/>
      <c r="Y16" s="71">
        <f>MAX(V16-O16-W16-X16,0)</f>
        <v>7709250.5230000019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520925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2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8044114.7340000002</v>
      </c>
      <c r="K17" s="36">
        <f t="shared" ref="K17:K36" si="13">F17+G17+H17+I17+J17</f>
        <v>18231314.734000001</v>
      </c>
      <c r="L17" s="37">
        <f t="shared" si="7"/>
        <v>459552</v>
      </c>
      <c r="M17" s="38">
        <f t="shared" si="8"/>
        <v>86166</v>
      </c>
      <c r="N17" s="39">
        <f t="shared" si="9"/>
        <v>57444</v>
      </c>
      <c r="O17" s="40">
        <f t="shared" si="10"/>
        <v>603162</v>
      </c>
      <c r="P17" s="38">
        <f t="shared" ref="P17:P34" si="14">D17*17.5%</f>
        <v>1005269.9999999999</v>
      </c>
      <c r="Q17" s="38">
        <f t="shared" ref="Q17:Q36" si="15">D17*3%</f>
        <v>172332</v>
      </c>
      <c r="R17" s="38">
        <f t="shared" ref="R17:R36" si="16">D17*1%</f>
        <v>57444</v>
      </c>
      <c r="S17" s="40">
        <f t="shared" si="11"/>
        <v>1235046</v>
      </c>
      <c r="T17" s="41">
        <f t="shared" ref="T17:T24" si="17">K17-O17</f>
        <v>17628152.734000001</v>
      </c>
      <c r="U17" s="42"/>
      <c r="V17" s="70">
        <f t="shared" si="2"/>
        <v>17501314.734000001</v>
      </c>
      <c r="W17" s="71">
        <v>11000000</v>
      </c>
      <c r="X17" s="71">
        <f>4400000</f>
        <v>4400000</v>
      </c>
      <c r="Y17" s="71">
        <f t="shared" ref="Y17:Y49" si="18">MAX(V17-O17-W17-X17,0)</f>
        <v>1498152.7340000011</v>
      </c>
      <c r="Z17" s="71">
        <f t="shared" ref="Z17:Z49" si="19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74908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2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8044114.7340000002</v>
      </c>
      <c r="K18" s="36">
        <f t="shared" si="13"/>
        <v>18231314.734000001</v>
      </c>
      <c r="L18" s="37">
        <f t="shared" si="7"/>
        <v>459552</v>
      </c>
      <c r="M18" s="38">
        <f t="shared" si="8"/>
        <v>86166</v>
      </c>
      <c r="N18" s="39">
        <f t="shared" si="9"/>
        <v>57444</v>
      </c>
      <c r="O18" s="40">
        <f t="shared" si="10"/>
        <v>603162</v>
      </c>
      <c r="P18" s="38">
        <f t="shared" si="14"/>
        <v>1005269.9999999999</v>
      </c>
      <c r="Q18" s="38">
        <f t="shared" si="15"/>
        <v>172332</v>
      </c>
      <c r="R18" s="38">
        <f t="shared" si="16"/>
        <v>57444</v>
      </c>
      <c r="S18" s="40">
        <f t="shared" si="11"/>
        <v>1235046</v>
      </c>
      <c r="T18" s="41">
        <f t="shared" si="17"/>
        <v>17628152.734000001</v>
      </c>
      <c r="U18" s="42"/>
      <c r="V18" s="70">
        <f t="shared" si="2"/>
        <v>17501314.734000001</v>
      </c>
      <c r="W18" s="71">
        <v>11000000</v>
      </c>
      <c r="X18" s="71">
        <f>4400000</f>
        <v>4400000</v>
      </c>
      <c r="Y18" s="71">
        <f t="shared" si="18"/>
        <v>1498152.7340000011</v>
      </c>
      <c r="Z18" s="71">
        <f t="shared" si="19"/>
        <v>74908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5362743.1560000004</v>
      </c>
      <c r="K19" s="36">
        <f t="shared" si="13"/>
        <v>16721143.155999999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4"/>
        <v>970444.99999999988</v>
      </c>
      <c r="Q19" s="38">
        <f>D19*3%</f>
        <v>166362</v>
      </c>
      <c r="R19" s="38">
        <f t="shared" si="16"/>
        <v>55454</v>
      </c>
      <c r="S19" s="40">
        <f>P19+Q19+R19</f>
        <v>1192261</v>
      </c>
      <c r="T19" s="41">
        <f>K19-O19</f>
        <v>16138876.155999999</v>
      </c>
      <c r="U19" s="42"/>
      <c r="V19" s="70">
        <f t="shared" si="2"/>
        <v>15991143.155999999</v>
      </c>
      <c r="W19" s="71">
        <v>11000000</v>
      </c>
      <c r="X19" s="71"/>
      <c r="Y19" s="71">
        <f t="shared" si="18"/>
        <v>4408876.1559999995</v>
      </c>
      <c r="Z19" s="71">
        <f t="shared" si="19"/>
        <v>220444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9631723.8224999998</v>
      </c>
      <c r="K20" s="36">
        <f t="shared" si="13"/>
        <v>20344523.822499998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4"/>
        <v>1097250</v>
      </c>
      <c r="Q20" s="38">
        <f>D20*3%</f>
        <v>188100</v>
      </c>
      <c r="R20" s="38">
        <f t="shared" si="16"/>
        <v>62700</v>
      </c>
      <c r="S20" s="40">
        <f>P20+Q20+R20</f>
        <v>1348050</v>
      </c>
      <c r="T20" s="41">
        <f>K20-O20</f>
        <v>19686173.822499998</v>
      </c>
      <c r="U20" s="42"/>
      <c r="V20" s="70">
        <f t="shared" si="2"/>
        <v>19614523.822499998</v>
      </c>
      <c r="W20" s="71">
        <v>11000000</v>
      </c>
      <c r="X20" s="71">
        <f>4400000*2</f>
        <v>8800000</v>
      </c>
      <c r="Y20" s="71">
        <f t="shared" si="18"/>
        <v>0</v>
      </c>
      <c r="Z20" s="71">
        <f t="shared" si="19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2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5362743.1560000004</v>
      </c>
      <c r="K21" s="36">
        <f t="shared" si="13"/>
        <v>16921743.155999999</v>
      </c>
      <c r="L21" s="37"/>
      <c r="M21" s="38">
        <f t="shared" si="8"/>
        <v>86190</v>
      </c>
      <c r="N21" s="39"/>
      <c r="O21" s="40">
        <f t="shared" si="10"/>
        <v>86190</v>
      </c>
      <c r="P21" s="38"/>
      <c r="Q21" s="38">
        <f t="shared" si="15"/>
        <v>172380</v>
      </c>
      <c r="R21" s="38"/>
      <c r="S21" s="40">
        <f t="shared" si="11"/>
        <v>172380</v>
      </c>
      <c r="T21" s="41">
        <f t="shared" si="17"/>
        <v>16835553.155999999</v>
      </c>
      <c r="U21" s="42"/>
      <c r="V21" s="70">
        <f t="shared" si="2"/>
        <v>16191743.155999999</v>
      </c>
      <c r="W21" s="71">
        <v>11000000</v>
      </c>
      <c r="X21" s="71">
        <f>4400000</f>
        <v>4400000</v>
      </c>
      <c r="Y21" s="71">
        <f t="shared" si="18"/>
        <v>705553.15599999949</v>
      </c>
      <c r="Z21" s="71">
        <f t="shared" si="19"/>
        <v>35278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2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5362743.1560000004</v>
      </c>
      <c r="K22" s="36">
        <f t="shared" si="13"/>
        <v>16921743.155999999</v>
      </c>
      <c r="L22" s="37">
        <f t="shared" si="7"/>
        <v>459680</v>
      </c>
      <c r="M22" s="38">
        <f t="shared" si="8"/>
        <v>86190</v>
      </c>
      <c r="N22" s="39">
        <f t="shared" si="9"/>
        <v>57460</v>
      </c>
      <c r="O22" s="40">
        <f t="shared" si="10"/>
        <v>603330</v>
      </c>
      <c r="P22" s="38">
        <f t="shared" si="14"/>
        <v>1005549.9999999999</v>
      </c>
      <c r="Q22" s="38">
        <f t="shared" si="15"/>
        <v>172380</v>
      </c>
      <c r="R22" s="38">
        <f t="shared" si="16"/>
        <v>57460</v>
      </c>
      <c r="S22" s="40">
        <f t="shared" si="11"/>
        <v>1235390</v>
      </c>
      <c r="T22" s="41">
        <f t="shared" si="17"/>
        <v>16318413.155999999</v>
      </c>
      <c r="U22" s="42"/>
      <c r="V22" s="70">
        <f t="shared" si="2"/>
        <v>16191743.155999999</v>
      </c>
      <c r="W22" s="71">
        <v>11000000</v>
      </c>
      <c r="X22" s="71"/>
      <c r="Y22" s="71">
        <f t="shared" si="18"/>
        <v>4588413.1559999995</v>
      </c>
      <c r="Z22" s="71">
        <f t="shared" si="19"/>
        <v>229421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2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5362743.1560000004</v>
      </c>
      <c r="K23" s="36">
        <f t="shared" si="13"/>
        <v>16921743.155999999</v>
      </c>
      <c r="L23" s="37">
        <f t="shared" si="7"/>
        <v>459680</v>
      </c>
      <c r="M23" s="38">
        <f t="shared" si="8"/>
        <v>86190</v>
      </c>
      <c r="N23" s="39">
        <f t="shared" si="9"/>
        <v>57460</v>
      </c>
      <c r="O23" s="40">
        <f t="shared" si="10"/>
        <v>603330</v>
      </c>
      <c r="P23" s="38">
        <f t="shared" si="14"/>
        <v>1005549.9999999999</v>
      </c>
      <c r="Q23" s="38">
        <f t="shared" si="15"/>
        <v>172380</v>
      </c>
      <c r="R23" s="38">
        <f t="shared" si="16"/>
        <v>57460</v>
      </c>
      <c r="S23" s="40">
        <f t="shared" si="11"/>
        <v>1235390</v>
      </c>
      <c r="T23" s="41">
        <f t="shared" si="17"/>
        <v>16318413.155999999</v>
      </c>
      <c r="U23" s="42"/>
      <c r="V23" s="70">
        <f t="shared" si="2"/>
        <v>16191743.155999999</v>
      </c>
      <c r="W23" s="71">
        <v>11000000</v>
      </c>
      <c r="X23" s="71"/>
      <c r="Y23" s="71">
        <f t="shared" si="18"/>
        <v>4588413.1559999995</v>
      </c>
      <c r="Z23" s="71">
        <f t="shared" si="19"/>
        <v>229421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2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8044114.7340000002</v>
      </c>
      <c r="K24" s="36">
        <f t="shared" si="13"/>
        <v>18763314.734000001</v>
      </c>
      <c r="L24" s="37">
        <f t="shared" si="7"/>
        <v>502112</v>
      </c>
      <c r="M24" s="38">
        <f t="shared" si="8"/>
        <v>94146</v>
      </c>
      <c r="N24" s="39">
        <f t="shared" si="9"/>
        <v>62764</v>
      </c>
      <c r="O24" s="40">
        <f t="shared" si="10"/>
        <v>659022</v>
      </c>
      <c r="P24" s="38">
        <f t="shared" si="14"/>
        <v>1098370</v>
      </c>
      <c r="Q24" s="38">
        <f t="shared" si="15"/>
        <v>188292</v>
      </c>
      <c r="R24" s="38">
        <f t="shared" si="16"/>
        <v>62764</v>
      </c>
      <c r="S24" s="40">
        <f t="shared" si="11"/>
        <v>1349426</v>
      </c>
      <c r="T24" s="41">
        <f t="shared" si="17"/>
        <v>18104292.734000001</v>
      </c>
      <c r="U24" s="42"/>
      <c r="V24" s="70">
        <f t="shared" si="2"/>
        <v>18033314.734000001</v>
      </c>
      <c r="W24" s="71">
        <v>11000000</v>
      </c>
      <c r="X24" s="71">
        <f>4400000*2</f>
        <v>8800000</v>
      </c>
      <c r="Y24" s="71">
        <f t="shared" si="18"/>
        <v>0</v>
      </c>
      <c r="Z24" s="71">
        <f t="shared" si="19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2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5779034.2934999997</v>
      </c>
      <c r="K25" s="36">
        <f t="shared" si="13"/>
        <v>17338034.293499999</v>
      </c>
      <c r="L25" s="37">
        <f t="shared" si="7"/>
        <v>459680</v>
      </c>
      <c r="M25" s="38">
        <f t="shared" si="8"/>
        <v>86190</v>
      </c>
      <c r="N25" s="39">
        <f t="shared" si="9"/>
        <v>57460</v>
      </c>
      <c r="O25" s="40">
        <f t="shared" si="10"/>
        <v>603330</v>
      </c>
      <c r="P25" s="38">
        <f t="shared" si="14"/>
        <v>1005549.9999999999</v>
      </c>
      <c r="Q25" s="38">
        <f t="shared" si="15"/>
        <v>172380</v>
      </c>
      <c r="R25" s="38">
        <f t="shared" si="16"/>
        <v>57460</v>
      </c>
      <c r="S25" s="40">
        <f t="shared" si="11"/>
        <v>1235390</v>
      </c>
      <c r="T25" s="41">
        <f>K25-O25</f>
        <v>16734704.293499999</v>
      </c>
      <c r="U25" s="42"/>
      <c r="V25" s="70">
        <f t="shared" si="2"/>
        <v>16608034.293499999</v>
      </c>
      <c r="W25" s="71">
        <v>11000000</v>
      </c>
      <c r="X25" s="71"/>
      <c r="Y25" s="71">
        <f t="shared" si="18"/>
        <v>5004704.2934999987</v>
      </c>
      <c r="Z25" s="71">
        <f t="shared" si="19"/>
        <v>250470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2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5362743.1560000004</v>
      </c>
      <c r="K26" s="36">
        <f t="shared" si="13"/>
        <v>16921743.155999999</v>
      </c>
      <c r="L26" s="37">
        <f t="shared" si="7"/>
        <v>459680</v>
      </c>
      <c r="M26" s="38">
        <f t="shared" si="8"/>
        <v>86190</v>
      </c>
      <c r="N26" s="39">
        <f t="shared" si="9"/>
        <v>57460</v>
      </c>
      <c r="O26" s="40">
        <f t="shared" si="10"/>
        <v>603330</v>
      </c>
      <c r="P26" s="38">
        <f t="shared" si="14"/>
        <v>1005549.9999999999</v>
      </c>
      <c r="Q26" s="38">
        <f t="shared" si="15"/>
        <v>172380</v>
      </c>
      <c r="R26" s="38">
        <f t="shared" si="16"/>
        <v>57460</v>
      </c>
      <c r="S26" s="40">
        <f t="shared" si="11"/>
        <v>1235390</v>
      </c>
      <c r="T26" s="41">
        <f>K26-O26</f>
        <v>16318413.155999999</v>
      </c>
      <c r="U26" s="42"/>
      <c r="V26" s="70">
        <f t="shared" si="2"/>
        <v>16191743.155999999</v>
      </c>
      <c r="W26" s="71">
        <v>11000000</v>
      </c>
      <c r="X26" s="71"/>
      <c r="Y26" s="71">
        <f t="shared" si="18"/>
        <v>4588413.1559999995</v>
      </c>
      <c r="Z26" s="71">
        <f t="shared" si="19"/>
        <v>229421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2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5779034.2934999997</v>
      </c>
      <c r="K27" s="36">
        <f t="shared" si="13"/>
        <v>17338034.293499999</v>
      </c>
      <c r="L27" s="37">
        <f t="shared" si="7"/>
        <v>459680</v>
      </c>
      <c r="M27" s="38">
        <f t="shared" si="8"/>
        <v>86190</v>
      </c>
      <c r="N27" s="39">
        <f t="shared" si="9"/>
        <v>57460</v>
      </c>
      <c r="O27" s="40">
        <f t="shared" si="10"/>
        <v>603330</v>
      </c>
      <c r="P27" s="38">
        <f t="shared" si="14"/>
        <v>1005549.9999999999</v>
      </c>
      <c r="Q27" s="38">
        <f t="shared" si="15"/>
        <v>172380</v>
      </c>
      <c r="R27" s="38">
        <f t="shared" si="16"/>
        <v>57460</v>
      </c>
      <c r="S27" s="40">
        <f t="shared" si="11"/>
        <v>1235390</v>
      </c>
      <c r="T27" s="41">
        <f t="shared" ref="T27" si="20">K27-O27</f>
        <v>16734704.293499999</v>
      </c>
      <c r="U27" s="42"/>
      <c r="V27" s="70">
        <f t="shared" si="2"/>
        <v>16608034.293499999</v>
      </c>
      <c r="W27" s="71">
        <v>11000000</v>
      </c>
      <c r="X27" s="71">
        <f>4400000*2</f>
        <v>8800000</v>
      </c>
      <c r="Y27" s="71">
        <f t="shared" si="18"/>
        <v>0</v>
      </c>
      <c r="Z27" s="71">
        <f t="shared" si="19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2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5779034.2934999997</v>
      </c>
      <c r="K28" s="36">
        <f t="shared" si="13"/>
        <v>17338034.293499999</v>
      </c>
      <c r="L28" s="37">
        <f t="shared" si="7"/>
        <v>459680</v>
      </c>
      <c r="M28" s="38">
        <f t="shared" si="8"/>
        <v>86190</v>
      </c>
      <c r="N28" s="39">
        <f t="shared" si="9"/>
        <v>57460</v>
      </c>
      <c r="O28" s="40">
        <f t="shared" si="10"/>
        <v>603330</v>
      </c>
      <c r="P28" s="38">
        <f t="shared" si="14"/>
        <v>1005549.9999999999</v>
      </c>
      <c r="Q28" s="38">
        <f t="shared" si="15"/>
        <v>172380</v>
      </c>
      <c r="R28" s="38">
        <f t="shared" si="16"/>
        <v>57460</v>
      </c>
      <c r="S28" s="40">
        <f t="shared" si="11"/>
        <v>1235390</v>
      </c>
      <c r="T28" s="41">
        <f>K28-O28</f>
        <v>16734704.293499999</v>
      </c>
      <c r="U28" s="42"/>
      <c r="V28" s="70">
        <f t="shared" si="2"/>
        <v>16608034.293499999</v>
      </c>
      <c r="W28" s="71">
        <v>11000000</v>
      </c>
      <c r="X28" s="71">
        <f>4400000*2</f>
        <v>8800000</v>
      </c>
      <c r="Y28" s="71">
        <f t="shared" si="18"/>
        <v>0</v>
      </c>
      <c r="Z28" s="71">
        <f t="shared" si="19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2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9631723.8224999998</v>
      </c>
      <c r="K29" s="36">
        <f t="shared" si="13"/>
        <v>20350923.822499998</v>
      </c>
      <c r="L29" s="37">
        <f t="shared" si="7"/>
        <v>502112</v>
      </c>
      <c r="M29" s="38">
        <f t="shared" si="8"/>
        <v>94146</v>
      </c>
      <c r="N29" s="39">
        <f t="shared" si="9"/>
        <v>62764</v>
      </c>
      <c r="O29" s="40">
        <f t="shared" si="10"/>
        <v>659022</v>
      </c>
      <c r="P29" s="38">
        <f t="shared" si="14"/>
        <v>1098370</v>
      </c>
      <c r="Q29" s="38">
        <f t="shared" si="15"/>
        <v>188292</v>
      </c>
      <c r="R29" s="38">
        <f t="shared" si="16"/>
        <v>62764</v>
      </c>
      <c r="S29" s="40">
        <f t="shared" si="11"/>
        <v>1349426</v>
      </c>
      <c r="T29" s="41">
        <f t="shared" ref="T29:T30" si="21">K29-O29</f>
        <v>19691901.822499998</v>
      </c>
      <c r="U29" s="42"/>
      <c r="V29" s="70">
        <f t="shared" si="2"/>
        <v>19620923.822499998</v>
      </c>
      <c r="W29" s="71">
        <v>11000000</v>
      </c>
      <c r="X29" s="71">
        <f>4400000*3</f>
        <v>13200000</v>
      </c>
      <c r="Y29" s="71">
        <f t="shared" si="18"/>
        <v>0</v>
      </c>
      <c r="Z29" s="71">
        <f t="shared" si="19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2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9631723.8224999998</v>
      </c>
      <c r="K30" s="36">
        <f t="shared" si="13"/>
        <v>20350923.822499998</v>
      </c>
      <c r="L30" s="37">
        <f t="shared" si="7"/>
        <v>502112</v>
      </c>
      <c r="M30" s="38">
        <f t="shared" si="8"/>
        <v>94146</v>
      </c>
      <c r="N30" s="39">
        <f t="shared" si="9"/>
        <v>62764</v>
      </c>
      <c r="O30" s="40">
        <f t="shared" si="10"/>
        <v>659022</v>
      </c>
      <c r="P30" s="38">
        <f t="shared" si="14"/>
        <v>1098370</v>
      </c>
      <c r="Q30" s="38">
        <f t="shared" si="15"/>
        <v>188292</v>
      </c>
      <c r="R30" s="38">
        <f t="shared" si="16"/>
        <v>62764</v>
      </c>
      <c r="S30" s="40">
        <f t="shared" si="11"/>
        <v>1349426</v>
      </c>
      <c r="T30" s="41">
        <f t="shared" si="21"/>
        <v>19691901.822499998</v>
      </c>
      <c r="U30" s="42"/>
      <c r="V30" s="70">
        <f t="shared" si="2"/>
        <v>19620923.822499998</v>
      </c>
      <c r="W30" s="71">
        <v>11000000</v>
      </c>
      <c r="X30" s="71">
        <f>4400000</f>
        <v>4400000</v>
      </c>
      <c r="Y30" s="71">
        <f t="shared" si="18"/>
        <v>3561901.8224999979</v>
      </c>
      <c r="Z30" s="71">
        <f t="shared" si="19"/>
        <v>178095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2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5779034.2934999997</v>
      </c>
      <c r="K31" s="36">
        <f t="shared" si="13"/>
        <v>17338034.293499999</v>
      </c>
      <c r="L31" s="37">
        <f t="shared" si="7"/>
        <v>459680</v>
      </c>
      <c r="M31" s="38">
        <f t="shared" si="8"/>
        <v>86190</v>
      </c>
      <c r="N31" s="39">
        <f t="shared" si="9"/>
        <v>57460</v>
      </c>
      <c r="O31" s="40">
        <f t="shared" si="10"/>
        <v>603330</v>
      </c>
      <c r="P31" s="38">
        <f t="shared" si="14"/>
        <v>1005549.9999999999</v>
      </c>
      <c r="Q31" s="38">
        <f t="shared" si="15"/>
        <v>172380</v>
      </c>
      <c r="R31" s="38">
        <f t="shared" si="16"/>
        <v>57460</v>
      </c>
      <c r="S31" s="40">
        <f t="shared" si="11"/>
        <v>1235390</v>
      </c>
      <c r="T31" s="41">
        <f>K31-O31</f>
        <v>16734704.293499999</v>
      </c>
      <c r="U31" s="42"/>
      <c r="V31" s="70">
        <f t="shared" si="2"/>
        <v>16608034.293499999</v>
      </c>
      <c r="W31" s="71">
        <v>11000000</v>
      </c>
      <c r="X31" s="71">
        <f>4400000*3</f>
        <v>13200000</v>
      </c>
      <c r="Y31" s="71">
        <f t="shared" si="18"/>
        <v>0</v>
      </c>
      <c r="Z31" s="71">
        <f t="shared" si="19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2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5779034.2934999997</v>
      </c>
      <c r="K32" s="36">
        <f t="shared" si="13"/>
        <v>17338034.293499999</v>
      </c>
      <c r="L32" s="37">
        <f t="shared" si="7"/>
        <v>459680</v>
      </c>
      <c r="M32" s="38">
        <f t="shared" si="8"/>
        <v>86190</v>
      </c>
      <c r="N32" s="39">
        <f t="shared" si="9"/>
        <v>57460</v>
      </c>
      <c r="O32" s="40">
        <f t="shared" si="10"/>
        <v>603330</v>
      </c>
      <c r="P32" s="38">
        <f t="shared" si="14"/>
        <v>1005549.9999999999</v>
      </c>
      <c r="Q32" s="38">
        <f t="shared" si="15"/>
        <v>172380</v>
      </c>
      <c r="R32" s="38">
        <f t="shared" si="16"/>
        <v>57460</v>
      </c>
      <c r="S32" s="40">
        <f t="shared" si="11"/>
        <v>1235390</v>
      </c>
      <c r="T32" s="41">
        <f>K32-O32</f>
        <v>16734704.293499999</v>
      </c>
      <c r="U32" s="42"/>
      <c r="V32" s="70">
        <f t="shared" si="2"/>
        <v>16608034.293499999</v>
      </c>
      <c r="W32" s="71">
        <v>11000000</v>
      </c>
      <c r="X32" s="71">
        <f>4400000*3</f>
        <v>13200000</v>
      </c>
      <c r="Y32" s="71">
        <f t="shared" si="18"/>
        <v>0</v>
      </c>
      <c r="Z32" s="71">
        <f t="shared" si="19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2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5362743.1560000004</v>
      </c>
      <c r="K33" s="36">
        <f t="shared" si="13"/>
        <v>16921743.155999999</v>
      </c>
      <c r="L33" s="37">
        <f t="shared" si="7"/>
        <v>459680</v>
      </c>
      <c r="M33" s="38">
        <f t="shared" si="8"/>
        <v>86190</v>
      </c>
      <c r="N33" s="39">
        <f t="shared" si="9"/>
        <v>57460</v>
      </c>
      <c r="O33" s="40">
        <f t="shared" si="10"/>
        <v>603330</v>
      </c>
      <c r="P33" s="38">
        <f t="shared" si="14"/>
        <v>1005549.9999999999</v>
      </c>
      <c r="Q33" s="38">
        <f t="shared" si="15"/>
        <v>172380</v>
      </c>
      <c r="R33" s="38">
        <f t="shared" si="16"/>
        <v>57460</v>
      </c>
      <c r="S33" s="40">
        <f t="shared" si="11"/>
        <v>1235390</v>
      </c>
      <c r="T33" s="41">
        <f>K33-O33</f>
        <v>16318413.155999999</v>
      </c>
      <c r="U33" s="42"/>
      <c r="V33" s="70">
        <f t="shared" si="2"/>
        <v>16191743.155999999</v>
      </c>
      <c r="W33" s="71">
        <v>11000000</v>
      </c>
      <c r="X33" s="71"/>
      <c r="Y33" s="71">
        <f t="shared" si="18"/>
        <v>4588413.1559999995</v>
      </c>
      <c r="Z33" s="71">
        <f t="shared" si="19"/>
        <v>229421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2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11558068.586999999</v>
      </c>
      <c r="K34" s="36">
        <f t="shared" si="13"/>
        <v>24068668.586999997</v>
      </c>
      <c r="L34" s="37">
        <f t="shared" si="7"/>
        <v>634816</v>
      </c>
      <c r="M34" s="38">
        <f t="shared" si="8"/>
        <v>119028</v>
      </c>
      <c r="N34" s="39">
        <f t="shared" si="9"/>
        <v>79352</v>
      </c>
      <c r="O34" s="40">
        <f t="shared" si="10"/>
        <v>833196</v>
      </c>
      <c r="P34" s="38">
        <f t="shared" si="14"/>
        <v>1388660</v>
      </c>
      <c r="Q34" s="38">
        <f t="shared" si="15"/>
        <v>238056</v>
      </c>
      <c r="R34" s="38">
        <f t="shared" si="16"/>
        <v>79352</v>
      </c>
      <c r="S34" s="40">
        <f t="shared" si="11"/>
        <v>1706068</v>
      </c>
      <c r="T34" s="41">
        <f>K34-O34</f>
        <v>23235472.586999997</v>
      </c>
      <c r="U34" s="42"/>
      <c r="V34" s="70">
        <f t="shared" si="2"/>
        <v>23338668.586999997</v>
      </c>
      <c r="W34" s="71">
        <v>11000000</v>
      </c>
      <c r="X34" s="71"/>
      <c r="Y34" s="71">
        <f t="shared" si="18"/>
        <v>11505472.586999997</v>
      </c>
      <c r="Z34" s="71">
        <f t="shared" si="19"/>
        <v>975821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12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5362743.1560000004</v>
      </c>
      <c r="K35" s="36">
        <f t="shared" si="13"/>
        <v>16393943.155999999</v>
      </c>
      <c r="L35" s="37">
        <f t="shared" si="7"/>
        <v>527072</v>
      </c>
      <c r="M35" s="38">
        <f t="shared" si="8"/>
        <v>98826</v>
      </c>
      <c r="N35" s="39">
        <f t="shared" si="9"/>
        <v>65884</v>
      </c>
      <c r="O35" s="40">
        <f>L35+M35+N35</f>
        <v>691782</v>
      </c>
      <c r="P35" s="38">
        <f>D35*17.5%</f>
        <v>1152970</v>
      </c>
      <c r="Q35" s="38">
        <f t="shared" si="15"/>
        <v>197652</v>
      </c>
      <c r="R35" s="38">
        <f t="shared" si="16"/>
        <v>65884</v>
      </c>
      <c r="S35" s="40">
        <f t="shared" si="11"/>
        <v>1416506</v>
      </c>
      <c r="T35" s="41">
        <f t="shared" ref="T35:T36" si="22">K35-O35</f>
        <v>15702161.155999999</v>
      </c>
      <c r="U35" s="42"/>
      <c r="V35" s="70">
        <f t="shared" si="2"/>
        <v>15663943.155999999</v>
      </c>
      <c r="W35" s="71">
        <v>11000000</v>
      </c>
      <c r="X35" s="71"/>
      <c r="Y35" s="71">
        <f t="shared" si="18"/>
        <v>3972161.1559999995</v>
      </c>
      <c r="Z35" s="71">
        <f t="shared" si="19"/>
        <v>198608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12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8044114.7340000002</v>
      </c>
      <c r="K36" s="36">
        <f t="shared" si="13"/>
        <v>19075314.734000001</v>
      </c>
      <c r="L36" s="37">
        <f t="shared" si="7"/>
        <v>527072</v>
      </c>
      <c r="M36" s="38">
        <f t="shared" si="8"/>
        <v>98826</v>
      </c>
      <c r="N36" s="39">
        <f t="shared" si="9"/>
        <v>65884</v>
      </c>
      <c r="O36" s="40">
        <f>L36+M36+N36</f>
        <v>691782</v>
      </c>
      <c r="P36" s="38">
        <f>D36*17.5%</f>
        <v>1152970</v>
      </c>
      <c r="Q36" s="38">
        <f t="shared" si="15"/>
        <v>197652</v>
      </c>
      <c r="R36" s="38">
        <f t="shared" si="16"/>
        <v>65884</v>
      </c>
      <c r="S36" s="40">
        <f t="shared" si="11"/>
        <v>1416506</v>
      </c>
      <c r="T36" s="41">
        <f t="shared" si="22"/>
        <v>18383532.734000001</v>
      </c>
      <c r="U36" s="42"/>
      <c r="V36" s="70">
        <f t="shared" si="2"/>
        <v>18345314.734000001</v>
      </c>
      <c r="W36" s="71">
        <v>11000000</v>
      </c>
      <c r="X36" s="71">
        <f>4400000</f>
        <v>4400000</v>
      </c>
      <c r="Y36" s="71">
        <f t="shared" si="18"/>
        <v>2253532.7340000011</v>
      </c>
      <c r="Z36" s="71">
        <f t="shared" si="19"/>
        <v>112677</v>
      </c>
    </row>
    <row r="37" spans="1:26" s="53" customFormat="1" ht="21.75" customHeight="1" x14ac:dyDescent="0.25">
      <c r="A37" s="62"/>
      <c r="B37" s="63"/>
      <c r="C37" s="45"/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70"/>
      <c r="W37" s="71"/>
      <c r="X37" s="71"/>
      <c r="Y37" s="71"/>
      <c r="Z37" s="71"/>
    </row>
    <row r="38" spans="1:26" s="53" customFormat="1" ht="21.75" customHeight="1" x14ac:dyDescent="0.25">
      <c r="A38" s="62"/>
      <c r="B38" s="63"/>
      <c r="C38" s="45"/>
      <c r="D38" s="32"/>
      <c r="E38" s="33"/>
      <c r="F38" s="34"/>
      <c r="G38" s="34"/>
      <c r="H38" s="35"/>
      <c r="I38" s="35"/>
      <c r="J38" s="35"/>
      <c r="K38" s="36"/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SUM(D44:D49)</f>
        <v>39974600</v>
      </c>
      <c r="E43" s="51">
        <f t="shared" ref="E43:U43" si="23">SUM(E44:E49)</f>
        <v>130</v>
      </c>
      <c r="F43" s="51">
        <f t="shared" si="23"/>
        <v>24190200</v>
      </c>
      <c r="G43" s="51">
        <f t="shared" si="23"/>
        <v>5751000</v>
      </c>
      <c r="H43" s="51">
        <f t="shared" si="23"/>
        <v>18873400</v>
      </c>
      <c r="I43" s="51">
        <f t="shared" si="23"/>
        <v>3650000</v>
      </c>
      <c r="J43" s="51">
        <f t="shared" si="23"/>
        <v>0</v>
      </c>
      <c r="K43" s="51">
        <f t="shared" si="23"/>
        <v>52464600</v>
      </c>
      <c r="L43" s="51">
        <f t="shared" si="23"/>
        <v>2395296</v>
      </c>
      <c r="M43" s="51">
        <f t="shared" si="23"/>
        <v>599619</v>
      </c>
      <c r="N43" s="51">
        <f>SUM(N44:N49)</f>
        <v>299412</v>
      </c>
      <c r="O43" s="51">
        <f>SUM(O44:O49)</f>
        <v>3294327</v>
      </c>
      <c r="P43" s="51">
        <f t="shared" si="23"/>
        <v>5239710</v>
      </c>
      <c r="Q43" s="51">
        <f t="shared" si="23"/>
        <v>1199238</v>
      </c>
      <c r="R43" s="51">
        <f t="shared" si="23"/>
        <v>299412</v>
      </c>
      <c r="S43" s="51">
        <f>SUM(S44:S49)</f>
        <v>6738360</v>
      </c>
      <c r="T43" s="51">
        <f t="shared" si="23"/>
        <v>49320774</v>
      </c>
      <c r="U43" s="51">
        <f t="shared" si="23"/>
        <v>0</v>
      </c>
      <c r="V43" s="51">
        <f>SUM(V44:V49)</f>
        <v>48814600</v>
      </c>
      <c r="W43" s="51">
        <f t="shared" ref="W43:Z43" si="24">SUM(W44:W49)</f>
        <v>55000000</v>
      </c>
      <c r="X43" s="51">
        <f t="shared" si="24"/>
        <v>4400000</v>
      </c>
      <c r="Y43" s="51">
        <f t="shared" si="24"/>
        <v>0</v>
      </c>
      <c r="Z43" s="51">
        <f t="shared" si="24"/>
        <v>0</v>
      </c>
    </row>
    <row r="44" spans="1:26" s="26" customFormat="1" ht="21.75" customHeight="1" x14ac:dyDescent="0.25">
      <c r="A44" s="29">
        <v>24</v>
      </c>
      <c r="B44" s="30" t="s">
        <v>42</v>
      </c>
      <c r="C44" s="31" t="s">
        <v>41</v>
      </c>
      <c r="D44" s="43">
        <f t="shared" ref="D44:D49" si="25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49" si="26">D44*8%</f>
        <v>443632</v>
      </c>
      <c r="M44" s="38">
        <f t="shared" ref="M44:M49" si="27">D44*1.5%</f>
        <v>83181</v>
      </c>
      <c r="N44" s="39">
        <f t="shared" ref="N44:N49" si="28">D44*1%</f>
        <v>55454</v>
      </c>
      <c r="O44" s="40">
        <f t="shared" ref="O44:O49" si="29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49" si="30">P44+Q44+R44</f>
        <v>1192261</v>
      </c>
      <c r="T44" s="41">
        <f t="shared" ref="T44:T46" si="31">K44-O44</f>
        <v>9450133</v>
      </c>
      <c r="U44" s="42"/>
      <c r="V44" s="70">
        <f t="shared" si="2"/>
        <v>9302400</v>
      </c>
      <c r="W44" s="71">
        <v>11000000</v>
      </c>
      <c r="X44" s="71"/>
      <c r="Y44" s="71">
        <f t="shared" si="18"/>
        <v>0</v>
      </c>
      <c r="Z44" s="71">
        <f t="shared" si="19"/>
        <v>0</v>
      </c>
    </row>
    <row r="45" spans="1:26" s="26" customFormat="1" ht="21.75" customHeight="1" x14ac:dyDescent="0.25">
      <c r="A45" s="29">
        <v>25</v>
      </c>
      <c r="B45" s="30" t="s">
        <v>79</v>
      </c>
      <c r="C45" s="31" t="s">
        <v>40</v>
      </c>
      <c r="D45" s="43">
        <f t="shared" si="25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49" si="32">F45+G45+H45+I45+J45</f>
        <v>10542400</v>
      </c>
      <c r="L45" s="37">
        <f t="shared" si="26"/>
        <v>484432</v>
      </c>
      <c r="M45" s="38">
        <f t="shared" si="27"/>
        <v>90831</v>
      </c>
      <c r="N45" s="39">
        <f t="shared" si="28"/>
        <v>60554</v>
      </c>
      <c r="O45" s="40">
        <f t="shared" si="29"/>
        <v>635817</v>
      </c>
      <c r="P45" s="38">
        <f t="shared" ref="P45:P48" si="33">D45*17.5%</f>
        <v>1059695</v>
      </c>
      <c r="Q45" s="38">
        <f t="shared" ref="Q45:Q49" si="34">D45*3%</f>
        <v>181662</v>
      </c>
      <c r="R45" s="38">
        <f t="shared" ref="R45:R49" si="35">D45*1%</f>
        <v>60554</v>
      </c>
      <c r="S45" s="40">
        <f t="shared" si="30"/>
        <v>1301911</v>
      </c>
      <c r="T45" s="41">
        <f t="shared" si="31"/>
        <v>9906583</v>
      </c>
      <c r="U45" s="42"/>
      <c r="V45" s="70">
        <f t="shared" si="2"/>
        <v>9812400</v>
      </c>
      <c r="W45" s="71">
        <v>11000000</v>
      </c>
      <c r="X45" s="71">
        <f>4400000</f>
        <v>4400000</v>
      </c>
      <c r="Y45" s="71">
        <f t="shared" si="18"/>
        <v>0</v>
      </c>
      <c r="Z45" s="71">
        <f t="shared" si="19"/>
        <v>0</v>
      </c>
    </row>
    <row r="46" spans="1:26" s="14" customFormat="1" ht="21.75" customHeight="1" x14ac:dyDescent="0.25">
      <c r="A46" s="29">
        <v>26</v>
      </c>
      <c r="B46" s="30" t="s">
        <v>81</v>
      </c>
      <c r="C46" s="31" t="s">
        <v>41</v>
      </c>
      <c r="D46" s="43">
        <f t="shared" si="25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2"/>
        <v>10233000</v>
      </c>
      <c r="L46" s="37">
        <f t="shared" si="26"/>
        <v>459680</v>
      </c>
      <c r="M46" s="38">
        <f t="shared" si="27"/>
        <v>86190</v>
      </c>
      <c r="N46" s="39">
        <f t="shared" si="28"/>
        <v>57460</v>
      </c>
      <c r="O46" s="40">
        <f t="shared" si="29"/>
        <v>603330</v>
      </c>
      <c r="P46" s="38">
        <f t="shared" si="33"/>
        <v>1005549.9999999999</v>
      </c>
      <c r="Q46" s="38">
        <f t="shared" si="34"/>
        <v>172380</v>
      </c>
      <c r="R46" s="38">
        <f t="shared" si="35"/>
        <v>57460</v>
      </c>
      <c r="S46" s="40">
        <f t="shared" si="30"/>
        <v>1235390</v>
      </c>
      <c r="T46" s="41">
        <f t="shared" si="31"/>
        <v>9629670</v>
      </c>
      <c r="U46" s="42"/>
      <c r="V46" s="70">
        <f t="shared" si="2"/>
        <v>9503000</v>
      </c>
      <c r="W46" s="71">
        <v>11000000</v>
      </c>
      <c r="X46" s="71"/>
      <c r="Y46" s="71">
        <f t="shared" si="18"/>
        <v>0</v>
      </c>
      <c r="Z46" s="71">
        <f t="shared" si="19"/>
        <v>0</v>
      </c>
    </row>
    <row r="47" spans="1:26" s="14" customFormat="1" ht="12.75" x14ac:dyDescent="0.25">
      <c r="A47" s="62"/>
      <c r="B47" s="30" t="s">
        <v>100</v>
      </c>
      <c r="C47" s="31" t="s">
        <v>117</v>
      </c>
      <c r="D47" s="43">
        <v>10033400</v>
      </c>
      <c r="E47" s="33"/>
      <c r="F47" s="34"/>
      <c r="G47" s="34"/>
      <c r="H47" s="35"/>
      <c r="I47" s="35"/>
      <c r="J47" s="35"/>
      <c r="K47" s="36"/>
      <c r="L47" s="37"/>
      <c r="M47" s="38">
        <f t="shared" si="27"/>
        <v>150501</v>
      </c>
      <c r="N47" s="39"/>
      <c r="O47" s="40">
        <f t="shared" si="29"/>
        <v>150501</v>
      </c>
      <c r="P47" s="38"/>
      <c r="Q47" s="38">
        <f t="shared" si="34"/>
        <v>301002</v>
      </c>
      <c r="R47" s="38"/>
      <c r="S47" s="40">
        <f t="shared" si="30"/>
        <v>301002</v>
      </c>
      <c r="T47" s="41"/>
      <c r="U47" s="42"/>
      <c r="V47" s="70"/>
      <c r="W47" s="71"/>
      <c r="X47" s="71"/>
      <c r="Y47" s="71">
        <f>MAX(V47-O47-W47-X47,0)</f>
        <v>0</v>
      </c>
      <c r="Z47" s="71">
        <f t="shared" si="19"/>
        <v>0</v>
      </c>
    </row>
    <row r="48" spans="1:26" s="14" customFormat="1" ht="17.25" customHeight="1" x14ac:dyDescent="0.25">
      <c r="A48" s="29">
        <v>27</v>
      </c>
      <c r="B48" s="64" t="s">
        <v>105</v>
      </c>
      <c r="C48" s="31" t="s">
        <v>40</v>
      </c>
      <c r="D48" s="43">
        <f t="shared" si="25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2"/>
        <v>10828400</v>
      </c>
      <c r="L48" s="37">
        <f t="shared" si="26"/>
        <v>503776</v>
      </c>
      <c r="M48" s="38">
        <f t="shared" si="27"/>
        <v>94458</v>
      </c>
      <c r="N48" s="39">
        <f t="shared" si="28"/>
        <v>62972</v>
      </c>
      <c r="O48" s="40">
        <f t="shared" si="29"/>
        <v>661206</v>
      </c>
      <c r="P48" s="38">
        <f t="shared" si="33"/>
        <v>1102010</v>
      </c>
      <c r="Q48" s="38">
        <f t="shared" si="34"/>
        <v>188916</v>
      </c>
      <c r="R48" s="38">
        <f t="shared" si="35"/>
        <v>62972</v>
      </c>
      <c r="S48" s="40">
        <f t="shared" si="30"/>
        <v>1353898</v>
      </c>
      <c r="T48" s="41">
        <f>K48-O48</f>
        <v>10167194</v>
      </c>
      <c r="U48" s="42"/>
      <c r="V48" s="70">
        <f t="shared" si="2"/>
        <v>10098400</v>
      </c>
      <c r="W48" s="71">
        <v>11000000</v>
      </c>
      <c r="X48" s="71"/>
      <c r="Y48" s="71">
        <f t="shared" si="18"/>
        <v>0</v>
      </c>
      <c r="Z48" s="71">
        <f t="shared" si="19"/>
        <v>0</v>
      </c>
    </row>
    <row r="49" spans="1:26" s="14" customFormat="1" ht="17.25" customHeight="1" x14ac:dyDescent="0.25">
      <c r="A49" s="62">
        <v>28</v>
      </c>
      <c r="B49" s="30" t="s">
        <v>106</v>
      </c>
      <c r="C49" s="31" t="s">
        <v>40</v>
      </c>
      <c r="D49" s="43">
        <f t="shared" si="25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32"/>
        <v>10828400</v>
      </c>
      <c r="L49" s="37">
        <f t="shared" si="26"/>
        <v>503776</v>
      </c>
      <c r="M49" s="38">
        <f t="shared" si="27"/>
        <v>94458</v>
      </c>
      <c r="N49" s="39">
        <f t="shared" si="28"/>
        <v>62972</v>
      </c>
      <c r="O49" s="40">
        <f t="shared" si="29"/>
        <v>661206</v>
      </c>
      <c r="P49" s="38">
        <f>D49*17.5%</f>
        <v>1102010</v>
      </c>
      <c r="Q49" s="38">
        <f t="shared" si="34"/>
        <v>188916</v>
      </c>
      <c r="R49" s="38">
        <f t="shared" si="35"/>
        <v>62972</v>
      </c>
      <c r="S49" s="40">
        <f t="shared" si="30"/>
        <v>1353898</v>
      </c>
      <c r="T49" s="41">
        <f>K49-O49</f>
        <v>10167194</v>
      </c>
      <c r="U49" s="42"/>
      <c r="V49" s="70">
        <f t="shared" si="2"/>
        <v>10098400</v>
      </c>
      <c r="W49" s="71">
        <v>11000000</v>
      </c>
      <c r="X49" s="71"/>
      <c r="Y49" s="71">
        <f t="shared" si="18"/>
        <v>0</v>
      </c>
      <c r="Z49" s="71">
        <f t="shared" si="19"/>
        <v>0</v>
      </c>
    </row>
    <row r="50" spans="1:26" s="14" customFormat="1" ht="17.25" customHeight="1" x14ac:dyDescent="0.25">
      <c r="A50" s="62"/>
      <c r="B50" s="64"/>
      <c r="C50" s="31"/>
      <c r="D50" s="43"/>
      <c r="E50" s="33"/>
      <c r="F50" s="34"/>
      <c r="G50" s="34"/>
      <c r="H50" s="35"/>
      <c r="I50" s="35"/>
      <c r="J50" s="35"/>
      <c r="K50" s="36"/>
      <c r="L50" s="37"/>
      <c r="M50" s="38"/>
      <c r="N50" s="39"/>
      <c r="O50" s="40"/>
      <c r="P50" s="38"/>
      <c r="Q50" s="38"/>
      <c r="R50" s="38"/>
      <c r="S50" s="40"/>
      <c r="T50" s="41"/>
      <c r="U50" s="42"/>
      <c r="V50" s="70"/>
      <c r="W50" s="71"/>
      <c r="X50" s="71"/>
      <c r="Y50" s="71"/>
      <c r="Z50" s="71"/>
    </row>
    <row r="51" spans="1:26" s="14" customFormat="1" ht="17.25" customHeight="1" x14ac:dyDescent="0.25">
      <c r="A51" s="62"/>
      <c r="B51" s="64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70"/>
      <c r="W51" s="71"/>
      <c r="X51" s="71"/>
      <c r="Y51" s="71"/>
      <c r="Z51" s="71"/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Y52" si="36">D11+D13+D15+D43</f>
        <v>192185200</v>
      </c>
      <c r="E52" s="47">
        <f t="shared" si="36"/>
        <v>728</v>
      </c>
      <c r="F52" s="47">
        <f t="shared" si="36"/>
        <v>149335600</v>
      </c>
      <c r="G52" s="47">
        <f t="shared" si="36"/>
        <v>32816200</v>
      </c>
      <c r="H52" s="47">
        <f t="shared" si="36"/>
        <v>115980800</v>
      </c>
      <c r="I52" s="47">
        <f t="shared" si="36"/>
        <v>19710000</v>
      </c>
      <c r="J52" s="47">
        <f t="shared" si="36"/>
        <v>148448873.07300004</v>
      </c>
      <c r="K52" s="47">
        <f>K11+K13+K15+K43</f>
        <v>453126273.07300007</v>
      </c>
      <c r="L52" s="47">
        <f t="shared" si="36"/>
        <v>14112464</v>
      </c>
      <c r="M52" s="47">
        <f t="shared" si="36"/>
        <v>2882778</v>
      </c>
      <c r="N52" s="47">
        <f t="shared" si="36"/>
        <v>1764058</v>
      </c>
      <c r="O52" s="47">
        <f>O11+O13+O15+O43</f>
        <v>18759300</v>
      </c>
      <c r="P52" s="47">
        <f t="shared" si="36"/>
        <v>30871015</v>
      </c>
      <c r="Q52" s="47">
        <f t="shared" si="36"/>
        <v>5765556</v>
      </c>
      <c r="R52" s="47">
        <f t="shared" si="36"/>
        <v>1764058</v>
      </c>
      <c r="S52" s="47">
        <f t="shared" si="36"/>
        <v>38400629</v>
      </c>
      <c r="T52" s="47">
        <f t="shared" si="36"/>
        <v>435899820.07300007</v>
      </c>
      <c r="U52" s="47">
        <f t="shared" si="36"/>
        <v>0</v>
      </c>
      <c r="V52" s="47">
        <f t="shared" si="36"/>
        <v>433416273.07300007</v>
      </c>
      <c r="W52" s="47">
        <f t="shared" si="36"/>
        <v>297000000</v>
      </c>
      <c r="X52" s="47">
        <f t="shared" si="36"/>
        <v>101200000</v>
      </c>
      <c r="Y52" s="47">
        <f t="shared" si="36"/>
        <v>64207860.519999996</v>
      </c>
      <c r="Z52" s="47">
        <f>Z11+Z13+Z15+Z43</f>
        <v>3746641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119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8">
        <f>L52+P52</f>
        <v>44983479</v>
      </c>
      <c r="M56" s="18">
        <f t="shared" ref="M56" si="37">M52+Q52</f>
        <v>8648334</v>
      </c>
      <c r="N56" s="18">
        <f>N52+R52</f>
        <v>3528116</v>
      </c>
      <c r="O56" s="18"/>
      <c r="P56" s="18"/>
      <c r="Q56" s="18"/>
      <c r="R56" s="18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8"/>
      <c r="M57" s="18"/>
      <c r="N57" s="18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N53:T53"/>
    <mergeCell ref="N54:T54"/>
    <mergeCell ref="N55:T55"/>
    <mergeCell ref="U8:U9"/>
    <mergeCell ref="A13:C13"/>
    <mergeCell ref="T8:T9"/>
    <mergeCell ref="A11:C11"/>
    <mergeCell ref="A15:C15"/>
    <mergeCell ref="A43:C43"/>
    <mergeCell ref="A52:B52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W8:W9"/>
    <mergeCell ref="X8:X9"/>
    <mergeCell ref="Y8:Y9"/>
    <mergeCell ref="Z8:Z9"/>
    <mergeCell ref="V8:V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pane xSplit="1" ySplit="9" topLeftCell="B40" activePane="bottomRight" state="frozen"/>
      <selection pane="topRight" activeCell="B1" sqref="B1"/>
      <selection pane="bottomLeft" activeCell="A10" sqref="A10"/>
      <selection pane="bottomRight" activeCell="A41" sqref="A41:XFD42"/>
    </sheetView>
  </sheetViews>
  <sheetFormatPr defaultColWidth="9.140625" defaultRowHeight="15" x14ac:dyDescent="0.25"/>
  <cols>
    <col min="1" max="1" width="4.28515625" style="13" customWidth="1"/>
    <col min="2" max="2" width="20.42578125" style="13" bestFit="1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57031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126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U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/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>SUM(V12:V12)</f>
        <v>0</v>
      </c>
      <c r="W11" s="51">
        <f t="shared" ref="W11:Z11" si="1">SUM(W12:W12)</f>
        <v>0</v>
      </c>
      <c r="X11" s="51">
        <f t="shared" si="1"/>
        <v>0</v>
      </c>
      <c r="Y11" s="51">
        <f t="shared" si="1"/>
        <v>0</v>
      </c>
      <c r="Z11" s="51">
        <f t="shared" si="1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2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U13" si="3">SUM(E14:E14)</f>
        <v>26</v>
      </c>
      <c r="F13" s="51">
        <f t="shared" si="3"/>
        <v>9828000</v>
      </c>
      <c r="G13" s="51">
        <f t="shared" si="3"/>
        <v>2242000</v>
      </c>
      <c r="H13" s="51">
        <f t="shared" si="3"/>
        <v>3933800</v>
      </c>
      <c r="I13" s="51">
        <f t="shared" si="3"/>
        <v>730000</v>
      </c>
      <c r="J13" s="51">
        <f t="shared" si="3"/>
        <v>0</v>
      </c>
      <c r="K13" s="51">
        <f t="shared" si="3"/>
        <v>16733800</v>
      </c>
      <c r="L13" s="51">
        <f t="shared" si="3"/>
        <v>965600</v>
      </c>
      <c r="M13" s="51">
        <f t="shared" si="3"/>
        <v>181050</v>
      </c>
      <c r="N13" s="51">
        <f t="shared" si="3"/>
        <v>120700</v>
      </c>
      <c r="O13" s="51">
        <f t="shared" si="3"/>
        <v>1267350</v>
      </c>
      <c r="P13" s="51">
        <f t="shared" si="3"/>
        <v>2112250</v>
      </c>
      <c r="Q13" s="51">
        <f t="shared" si="3"/>
        <v>362100</v>
      </c>
      <c r="R13" s="51">
        <f t="shared" si="3"/>
        <v>120700</v>
      </c>
      <c r="S13" s="51">
        <f t="shared" si="3"/>
        <v>2595050</v>
      </c>
      <c r="T13" s="51">
        <f t="shared" si="3"/>
        <v>15466450</v>
      </c>
      <c r="U13" s="51">
        <f t="shared" si="3"/>
        <v>0</v>
      </c>
      <c r="V13" s="51">
        <f>SUM(V14:V14)</f>
        <v>16003800</v>
      </c>
      <c r="W13" s="51">
        <f t="shared" ref="W13:Z13" si="4">SUM(W14:W14)</f>
        <v>11000000</v>
      </c>
      <c r="X13" s="51">
        <f t="shared" si="4"/>
        <v>0</v>
      </c>
      <c r="Y13" s="51">
        <f t="shared" si="4"/>
        <v>3736450</v>
      </c>
      <c r="Z13" s="51">
        <f t="shared" si="4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SUM(D16:D36)</f>
        <v>126975400</v>
      </c>
      <c r="E15" s="51">
        <f t="shared" ref="E15:Z15" si="5">SUM(E16:E36)</f>
        <v>546</v>
      </c>
      <c r="F15" s="51">
        <f t="shared" si="5"/>
        <v>104553400</v>
      </c>
      <c r="G15" s="51">
        <f t="shared" si="5"/>
        <v>22422000</v>
      </c>
      <c r="H15" s="51">
        <f t="shared" si="5"/>
        <v>93173600</v>
      </c>
      <c r="I15" s="51">
        <f t="shared" si="5"/>
        <v>15330000</v>
      </c>
      <c r="J15" s="51">
        <f t="shared" si="5"/>
        <v>144206888.1645</v>
      </c>
      <c r="K15" s="51">
        <f t="shared" si="5"/>
        <v>379685888.16449994</v>
      </c>
      <c r="L15" s="51">
        <f t="shared" si="5"/>
        <v>10158032</v>
      </c>
      <c r="M15" s="51">
        <f t="shared" si="5"/>
        <v>1904631</v>
      </c>
      <c r="N15" s="51">
        <f t="shared" si="5"/>
        <v>1269754</v>
      </c>
      <c r="O15" s="51">
        <f t="shared" si="5"/>
        <v>13332417</v>
      </c>
      <c r="P15" s="51">
        <f t="shared" si="5"/>
        <v>22220695</v>
      </c>
      <c r="Q15" s="51">
        <f t="shared" si="5"/>
        <v>3809262</v>
      </c>
      <c r="R15" s="51">
        <f t="shared" si="5"/>
        <v>1269754</v>
      </c>
      <c r="S15" s="51">
        <f t="shared" si="5"/>
        <v>27299711</v>
      </c>
      <c r="T15" s="51">
        <f t="shared" si="5"/>
        <v>366353471.16449994</v>
      </c>
      <c r="U15" s="51">
        <f t="shared" si="5"/>
        <v>0</v>
      </c>
      <c r="V15" s="51">
        <f>SUM(V16:V36)</f>
        <v>364355888.16449994</v>
      </c>
      <c r="W15" s="51">
        <f t="shared" si="5"/>
        <v>231000000</v>
      </c>
      <c r="X15" s="51">
        <f t="shared" si="5"/>
        <v>110000000</v>
      </c>
      <c r="Y15" s="51">
        <f t="shared" si="5"/>
        <v>48174801.699000008</v>
      </c>
      <c r="Z15" s="51">
        <f t="shared" si="5"/>
        <v>2567544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9590407.0814999994</v>
      </c>
      <c r="K16" s="36">
        <f>F16+G16+H16+I16+J16</f>
        <v>20303207.081500001</v>
      </c>
      <c r="L16" s="37">
        <f t="shared" ref="L16:L36" si="6">D16*8%</f>
        <v>501600</v>
      </c>
      <c r="M16" s="38">
        <f t="shared" ref="M16:M36" si="7">D16*1.5%</f>
        <v>94050</v>
      </c>
      <c r="N16" s="39">
        <f t="shared" ref="N16:N36" si="8">D16*1%</f>
        <v>62700</v>
      </c>
      <c r="O16" s="40">
        <f t="shared" ref="O16:O34" si="9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6" si="10">P16+Q16+R16</f>
        <v>1348050</v>
      </c>
      <c r="T16" s="41">
        <f>K16-O16</f>
        <v>19644857.081500001</v>
      </c>
      <c r="U16" s="42"/>
      <c r="V16" s="70">
        <f>K16-I16</f>
        <v>19573207.081500001</v>
      </c>
      <c r="W16" s="71">
        <v>11000000</v>
      </c>
      <c r="X16" s="71"/>
      <c r="Y16" s="71">
        <f>MAX(V16-O16-W16-X16,0)</f>
        <v>7914857.0815000013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541486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6" si="11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8220348.9270000001</v>
      </c>
      <c r="K17" s="36">
        <f t="shared" ref="K17:K36" si="12">F17+G17+H17+I17+J17</f>
        <v>18407548.927000001</v>
      </c>
      <c r="L17" s="37">
        <f t="shared" si="6"/>
        <v>459552</v>
      </c>
      <c r="M17" s="38">
        <f t="shared" si="7"/>
        <v>86166</v>
      </c>
      <c r="N17" s="39">
        <f t="shared" si="8"/>
        <v>57444</v>
      </c>
      <c r="O17" s="40">
        <f t="shared" si="9"/>
        <v>603162</v>
      </c>
      <c r="P17" s="38">
        <f t="shared" ref="P17:P34" si="13">D17*17.5%</f>
        <v>1005269.9999999999</v>
      </c>
      <c r="Q17" s="38">
        <f t="shared" ref="Q17:Q36" si="14">D17*3%</f>
        <v>172332</v>
      </c>
      <c r="R17" s="38">
        <f t="shared" ref="R17:R36" si="15">D17*1%</f>
        <v>57444</v>
      </c>
      <c r="S17" s="40">
        <f t="shared" si="10"/>
        <v>1235046</v>
      </c>
      <c r="T17" s="41">
        <f t="shared" ref="T17:T24" si="16">K17-O17</f>
        <v>17804386.927000001</v>
      </c>
      <c r="U17" s="42"/>
      <c r="V17" s="70">
        <f t="shared" si="2"/>
        <v>17677548.927000001</v>
      </c>
      <c r="W17" s="71">
        <v>11000000</v>
      </c>
      <c r="X17" s="71">
        <f>4400000</f>
        <v>4400000</v>
      </c>
      <c r="Y17" s="71">
        <f t="shared" ref="Y17:Y49" si="17">MAX(V17-O17-W17-X17,0)</f>
        <v>1674386.9270000011</v>
      </c>
      <c r="Z17" s="71">
        <f t="shared" ref="Z17:Z49" si="18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83719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1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8220348.9270000001</v>
      </c>
      <c r="K18" s="36">
        <f t="shared" si="12"/>
        <v>18407548.927000001</v>
      </c>
      <c r="L18" s="37">
        <f t="shared" si="6"/>
        <v>459552</v>
      </c>
      <c r="M18" s="38">
        <f t="shared" si="7"/>
        <v>86166</v>
      </c>
      <c r="N18" s="39">
        <f t="shared" si="8"/>
        <v>57444</v>
      </c>
      <c r="O18" s="40">
        <f t="shared" si="9"/>
        <v>603162</v>
      </c>
      <c r="P18" s="38">
        <f t="shared" si="13"/>
        <v>1005269.9999999999</v>
      </c>
      <c r="Q18" s="38">
        <f t="shared" si="14"/>
        <v>172332</v>
      </c>
      <c r="R18" s="38">
        <f t="shared" si="15"/>
        <v>57444</v>
      </c>
      <c r="S18" s="40">
        <f t="shared" si="10"/>
        <v>1235046</v>
      </c>
      <c r="T18" s="41">
        <f t="shared" si="16"/>
        <v>17804386.927000001</v>
      </c>
      <c r="U18" s="42"/>
      <c r="V18" s="70">
        <f t="shared" si="2"/>
        <v>17677548.927000001</v>
      </c>
      <c r="W18" s="71">
        <v>11000000</v>
      </c>
      <c r="X18" s="71">
        <f>4400000</f>
        <v>4400000</v>
      </c>
      <c r="Y18" s="71">
        <f t="shared" si="17"/>
        <v>1674386.9270000011</v>
      </c>
      <c r="Z18" s="71">
        <f t="shared" si="18"/>
        <v>83719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5480232.6179999998</v>
      </c>
      <c r="K19" s="36">
        <f t="shared" si="12"/>
        <v>16838632.618000001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3"/>
        <v>970444.99999999988</v>
      </c>
      <c r="Q19" s="38">
        <f>D19*3%</f>
        <v>166362</v>
      </c>
      <c r="R19" s="38">
        <f t="shared" si="15"/>
        <v>55454</v>
      </c>
      <c r="S19" s="40">
        <f>P19+Q19+R19</f>
        <v>1192261</v>
      </c>
      <c r="T19" s="41">
        <f>K19-O19</f>
        <v>16256365.618000001</v>
      </c>
      <c r="U19" s="42"/>
      <c r="V19" s="70">
        <f t="shared" si="2"/>
        <v>16108632.618000001</v>
      </c>
      <c r="W19" s="71">
        <v>11000000</v>
      </c>
      <c r="X19" s="71"/>
      <c r="Y19" s="71">
        <f t="shared" si="17"/>
        <v>4526365.6180000007</v>
      </c>
      <c r="Z19" s="71">
        <f t="shared" si="18"/>
        <v>226318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7544459.1725000003</v>
      </c>
      <c r="K20" s="36">
        <f t="shared" si="12"/>
        <v>18257259.172499999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3"/>
        <v>1097250</v>
      </c>
      <c r="Q20" s="38">
        <f>D20*3%</f>
        <v>188100</v>
      </c>
      <c r="R20" s="38">
        <f t="shared" si="15"/>
        <v>62700</v>
      </c>
      <c r="S20" s="40">
        <f>P20+Q20+R20</f>
        <v>1348050</v>
      </c>
      <c r="T20" s="41">
        <f>K20-O20</f>
        <v>17598909.172499999</v>
      </c>
      <c r="U20" s="42"/>
      <c r="V20" s="70">
        <f t="shared" si="2"/>
        <v>17527259.172499999</v>
      </c>
      <c r="W20" s="71">
        <v>11000000</v>
      </c>
      <c r="X20" s="71">
        <f>4400000*2</f>
        <v>8800000</v>
      </c>
      <c r="Y20" s="71">
        <f t="shared" si="17"/>
        <v>0</v>
      </c>
      <c r="Z20" s="71">
        <f t="shared" si="18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1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5480232.6179999998</v>
      </c>
      <c r="K21" s="36">
        <f t="shared" si="12"/>
        <v>17039232.618000001</v>
      </c>
      <c r="L21" s="37">
        <f t="shared" si="6"/>
        <v>459680</v>
      </c>
      <c r="M21" s="38">
        <f t="shared" si="7"/>
        <v>86190</v>
      </c>
      <c r="N21" s="39">
        <f t="shared" si="8"/>
        <v>57460</v>
      </c>
      <c r="O21" s="40">
        <f t="shared" si="9"/>
        <v>603330</v>
      </c>
      <c r="P21" s="38">
        <f t="shared" si="13"/>
        <v>1005549.9999999999</v>
      </c>
      <c r="Q21" s="38">
        <f t="shared" si="14"/>
        <v>172380</v>
      </c>
      <c r="R21" s="38">
        <f t="shared" si="15"/>
        <v>57460</v>
      </c>
      <c r="S21" s="40">
        <f t="shared" si="10"/>
        <v>1235390</v>
      </c>
      <c r="T21" s="41">
        <f t="shared" si="16"/>
        <v>16435902.618000001</v>
      </c>
      <c r="U21" s="42"/>
      <c r="V21" s="70">
        <f t="shared" si="2"/>
        <v>16309232.618000001</v>
      </c>
      <c r="W21" s="71">
        <v>11000000</v>
      </c>
      <c r="X21" s="71">
        <f>4400000</f>
        <v>4400000</v>
      </c>
      <c r="Y21" s="71">
        <f t="shared" si="17"/>
        <v>305902.61800000072</v>
      </c>
      <c r="Z21" s="71">
        <f t="shared" si="18"/>
        <v>15295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1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5480232.6179999998</v>
      </c>
      <c r="K22" s="36">
        <f t="shared" si="12"/>
        <v>17039232.618000001</v>
      </c>
      <c r="L22" s="37">
        <f t="shared" si="6"/>
        <v>459680</v>
      </c>
      <c r="M22" s="38">
        <f t="shared" si="7"/>
        <v>86190</v>
      </c>
      <c r="N22" s="39">
        <f t="shared" si="8"/>
        <v>57460</v>
      </c>
      <c r="O22" s="40">
        <f t="shared" si="9"/>
        <v>603330</v>
      </c>
      <c r="P22" s="38">
        <f t="shared" si="13"/>
        <v>1005549.9999999999</v>
      </c>
      <c r="Q22" s="38">
        <f t="shared" si="14"/>
        <v>172380</v>
      </c>
      <c r="R22" s="38">
        <f t="shared" si="15"/>
        <v>57460</v>
      </c>
      <c r="S22" s="40">
        <f t="shared" si="10"/>
        <v>1235390</v>
      </c>
      <c r="T22" s="41">
        <f t="shared" si="16"/>
        <v>16435902.618000001</v>
      </c>
      <c r="U22" s="42"/>
      <c r="V22" s="70">
        <f t="shared" si="2"/>
        <v>16309232.618000001</v>
      </c>
      <c r="W22" s="71">
        <v>11000000</v>
      </c>
      <c r="X22" s="71"/>
      <c r="Y22" s="71">
        <f t="shared" si="17"/>
        <v>4705902.6180000007</v>
      </c>
      <c r="Z22" s="71">
        <f t="shared" si="18"/>
        <v>235295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1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5480232.6179999998</v>
      </c>
      <c r="K23" s="36">
        <f t="shared" si="12"/>
        <v>17039232.618000001</v>
      </c>
      <c r="L23" s="37">
        <f t="shared" si="6"/>
        <v>459680</v>
      </c>
      <c r="M23" s="38">
        <f t="shared" si="7"/>
        <v>86190</v>
      </c>
      <c r="N23" s="39">
        <f t="shared" si="8"/>
        <v>57460</v>
      </c>
      <c r="O23" s="40">
        <f t="shared" si="9"/>
        <v>603330</v>
      </c>
      <c r="P23" s="38">
        <f t="shared" si="13"/>
        <v>1005549.9999999999</v>
      </c>
      <c r="Q23" s="38">
        <f t="shared" si="14"/>
        <v>172380</v>
      </c>
      <c r="R23" s="38">
        <f t="shared" si="15"/>
        <v>57460</v>
      </c>
      <c r="S23" s="40">
        <f t="shared" si="10"/>
        <v>1235390</v>
      </c>
      <c r="T23" s="41">
        <f t="shared" si="16"/>
        <v>16435902.618000001</v>
      </c>
      <c r="U23" s="42"/>
      <c r="V23" s="70">
        <f t="shared" si="2"/>
        <v>16309232.618000001</v>
      </c>
      <c r="W23" s="71">
        <v>11000000</v>
      </c>
      <c r="X23" s="71"/>
      <c r="Y23" s="71">
        <f t="shared" si="17"/>
        <v>4705902.6180000007</v>
      </c>
      <c r="Z23" s="71">
        <f t="shared" si="18"/>
        <v>235295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1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8220348.9270000001</v>
      </c>
      <c r="K24" s="36">
        <f t="shared" si="12"/>
        <v>18939548.927000001</v>
      </c>
      <c r="L24" s="37">
        <f t="shared" si="6"/>
        <v>502112</v>
      </c>
      <c r="M24" s="38">
        <f t="shared" si="7"/>
        <v>94146</v>
      </c>
      <c r="N24" s="39">
        <f t="shared" si="8"/>
        <v>62764</v>
      </c>
      <c r="O24" s="40">
        <f t="shared" si="9"/>
        <v>659022</v>
      </c>
      <c r="P24" s="38">
        <f t="shared" si="13"/>
        <v>1098370</v>
      </c>
      <c r="Q24" s="38">
        <f t="shared" si="14"/>
        <v>188292</v>
      </c>
      <c r="R24" s="38">
        <f t="shared" si="15"/>
        <v>62764</v>
      </c>
      <c r="S24" s="40">
        <f t="shared" si="10"/>
        <v>1349426</v>
      </c>
      <c r="T24" s="41">
        <f t="shared" si="16"/>
        <v>18280526.927000001</v>
      </c>
      <c r="U24" s="42"/>
      <c r="V24" s="70">
        <f t="shared" si="2"/>
        <v>18209548.927000001</v>
      </c>
      <c r="W24" s="71">
        <v>11000000</v>
      </c>
      <c r="X24" s="71">
        <f>4400000*2</f>
        <v>8800000</v>
      </c>
      <c r="Y24" s="71">
        <f t="shared" si="17"/>
        <v>0</v>
      </c>
      <c r="Z24" s="71">
        <f t="shared" si="18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1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6035567.3380000005</v>
      </c>
      <c r="K25" s="36">
        <f t="shared" si="12"/>
        <v>17594567.338</v>
      </c>
      <c r="L25" s="37">
        <f t="shared" si="6"/>
        <v>459680</v>
      </c>
      <c r="M25" s="38">
        <f t="shared" si="7"/>
        <v>86190</v>
      </c>
      <c r="N25" s="39">
        <f t="shared" si="8"/>
        <v>57460</v>
      </c>
      <c r="O25" s="40">
        <f t="shared" si="9"/>
        <v>603330</v>
      </c>
      <c r="P25" s="38">
        <f t="shared" si="13"/>
        <v>1005549.9999999999</v>
      </c>
      <c r="Q25" s="38">
        <f t="shared" si="14"/>
        <v>172380</v>
      </c>
      <c r="R25" s="38">
        <f t="shared" si="15"/>
        <v>57460</v>
      </c>
      <c r="S25" s="40">
        <f t="shared" si="10"/>
        <v>1235390</v>
      </c>
      <c r="T25" s="41">
        <f>K25-O25</f>
        <v>16991237.338</v>
      </c>
      <c r="U25" s="42"/>
      <c r="V25" s="70">
        <f t="shared" si="2"/>
        <v>16864567.338</v>
      </c>
      <c r="W25" s="71">
        <v>11000000</v>
      </c>
      <c r="X25" s="71"/>
      <c r="Y25" s="71">
        <f t="shared" si="17"/>
        <v>5261237.3379999995</v>
      </c>
      <c r="Z25" s="71">
        <f t="shared" si="18"/>
        <v>276124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1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5480232.6179999998</v>
      </c>
      <c r="K26" s="36">
        <f t="shared" si="12"/>
        <v>17039232.618000001</v>
      </c>
      <c r="L26" s="37">
        <f t="shared" si="6"/>
        <v>459680</v>
      </c>
      <c r="M26" s="38">
        <f t="shared" si="7"/>
        <v>86190</v>
      </c>
      <c r="N26" s="39">
        <f t="shared" si="8"/>
        <v>57460</v>
      </c>
      <c r="O26" s="40">
        <f t="shared" si="9"/>
        <v>603330</v>
      </c>
      <c r="P26" s="38">
        <f t="shared" si="13"/>
        <v>1005549.9999999999</v>
      </c>
      <c r="Q26" s="38">
        <f t="shared" si="14"/>
        <v>172380</v>
      </c>
      <c r="R26" s="38">
        <f t="shared" si="15"/>
        <v>57460</v>
      </c>
      <c r="S26" s="40">
        <f t="shared" si="10"/>
        <v>1235390</v>
      </c>
      <c r="T26" s="41">
        <f>K26-O26</f>
        <v>16435902.618000001</v>
      </c>
      <c r="U26" s="42"/>
      <c r="V26" s="70">
        <f t="shared" si="2"/>
        <v>16309232.618000001</v>
      </c>
      <c r="W26" s="71">
        <v>11000000</v>
      </c>
      <c r="X26" s="71"/>
      <c r="Y26" s="71">
        <f t="shared" si="17"/>
        <v>4705902.6180000007</v>
      </c>
      <c r="Z26" s="71">
        <f t="shared" si="18"/>
        <v>235295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1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6035567.3380000005</v>
      </c>
      <c r="K27" s="36">
        <f t="shared" si="12"/>
        <v>17594567.338</v>
      </c>
      <c r="L27" s="37">
        <f t="shared" si="6"/>
        <v>459680</v>
      </c>
      <c r="M27" s="38">
        <f t="shared" si="7"/>
        <v>86190</v>
      </c>
      <c r="N27" s="39">
        <f t="shared" si="8"/>
        <v>57460</v>
      </c>
      <c r="O27" s="40">
        <f t="shared" si="9"/>
        <v>603330</v>
      </c>
      <c r="P27" s="38">
        <f t="shared" si="13"/>
        <v>1005549.9999999999</v>
      </c>
      <c r="Q27" s="38">
        <f t="shared" si="14"/>
        <v>172380</v>
      </c>
      <c r="R27" s="38">
        <f t="shared" si="15"/>
        <v>57460</v>
      </c>
      <c r="S27" s="40">
        <f t="shared" si="10"/>
        <v>1235390</v>
      </c>
      <c r="T27" s="41">
        <f t="shared" ref="T27" si="19">K27-O27</f>
        <v>16991237.338</v>
      </c>
      <c r="U27" s="42"/>
      <c r="V27" s="70">
        <f t="shared" si="2"/>
        <v>16864567.338</v>
      </c>
      <c r="W27" s="71">
        <v>11000000</v>
      </c>
      <c r="X27" s="71">
        <f>4400000*2</f>
        <v>8800000</v>
      </c>
      <c r="Y27" s="71">
        <f t="shared" si="17"/>
        <v>0</v>
      </c>
      <c r="Z27" s="71">
        <f t="shared" si="18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1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6035567.3380000005</v>
      </c>
      <c r="K28" s="36">
        <f t="shared" si="12"/>
        <v>17594567.338</v>
      </c>
      <c r="L28" s="37">
        <f t="shared" si="6"/>
        <v>459680</v>
      </c>
      <c r="M28" s="38">
        <f t="shared" si="7"/>
        <v>86190</v>
      </c>
      <c r="N28" s="39">
        <f t="shared" si="8"/>
        <v>57460</v>
      </c>
      <c r="O28" s="40">
        <f t="shared" si="9"/>
        <v>603330</v>
      </c>
      <c r="P28" s="38">
        <f t="shared" si="13"/>
        <v>1005549.9999999999</v>
      </c>
      <c r="Q28" s="38">
        <f t="shared" si="14"/>
        <v>172380</v>
      </c>
      <c r="R28" s="38">
        <f t="shared" si="15"/>
        <v>57460</v>
      </c>
      <c r="S28" s="40">
        <f t="shared" si="10"/>
        <v>1235390</v>
      </c>
      <c r="T28" s="41">
        <f>K28-O28</f>
        <v>16991237.338</v>
      </c>
      <c r="U28" s="42"/>
      <c r="V28" s="70">
        <f t="shared" si="2"/>
        <v>16864567.338</v>
      </c>
      <c r="W28" s="71">
        <v>11000000</v>
      </c>
      <c r="X28" s="71">
        <f>4400000*2</f>
        <v>8800000</v>
      </c>
      <c r="Y28" s="71">
        <f t="shared" si="17"/>
        <v>0</v>
      </c>
      <c r="Z28" s="71">
        <f t="shared" si="18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1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7544459.1725000003</v>
      </c>
      <c r="K29" s="36">
        <f t="shared" si="12"/>
        <v>18263659.172499999</v>
      </c>
      <c r="L29" s="37">
        <f t="shared" si="6"/>
        <v>502112</v>
      </c>
      <c r="M29" s="38">
        <f t="shared" si="7"/>
        <v>94146</v>
      </c>
      <c r="N29" s="39">
        <f t="shared" si="8"/>
        <v>62764</v>
      </c>
      <c r="O29" s="40">
        <f t="shared" si="9"/>
        <v>659022</v>
      </c>
      <c r="P29" s="38">
        <f t="shared" si="13"/>
        <v>1098370</v>
      </c>
      <c r="Q29" s="38">
        <f t="shared" si="14"/>
        <v>188292</v>
      </c>
      <c r="R29" s="38">
        <f t="shared" si="15"/>
        <v>62764</v>
      </c>
      <c r="S29" s="40">
        <f t="shared" si="10"/>
        <v>1349426</v>
      </c>
      <c r="T29" s="41">
        <f t="shared" ref="T29:T30" si="20">K29-O29</f>
        <v>17604637.172499999</v>
      </c>
      <c r="U29" s="42"/>
      <c r="V29" s="70">
        <f t="shared" si="2"/>
        <v>17533659.172499999</v>
      </c>
      <c r="W29" s="71">
        <v>11000000</v>
      </c>
      <c r="X29" s="71">
        <f>4400000*3</f>
        <v>13200000</v>
      </c>
      <c r="Y29" s="71">
        <f t="shared" si="17"/>
        <v>0</v>
      </c>
      <c r="Z29" s="71">
        <f t="shared" si="18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1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7544459.1725000003</v>
      </c>
      <c r="K30" s="36">
        <f t="shared" si="12"/>
        <v>18263659.172499999</v>
      </c>
      <c r="L30" s="37">
        <f t="shared" si="6"/>
        <v>502112</v>
      </c>
      <c r="M30" s="38">
        <f t="shared" si="7"/>
        <v>94146</v>
      </c>
      <c r="N30" s="39">
        <f t="shared" si="8"/>
        <v>62764</v>
      </c>
      <c r="O30" s="40">
        <f t="shared" si="9"/>
        <v>659022</v>
      </c>
      <c r="P30" s="38">
        <f t="shared" si="13"/>
        <v>1098370</v>
      </c>
      <c r="Q30" s="38">
        <f t="shared" si="14"/>
        <v>188292</v>
      </c>
      <c r="R30" s="38">
        <f t="shared" si="15"/>
        <v>62764</v>
      </c>
      <c r="S30" s="40">
        <f t="shared" si="10"/>
        <v>1349426</v>
      </c>
      <c r="T30" s="41">
        <f t="shared" si="20"/>
        <v>17604637.172499999</v>
      </c>
      <c r="U30" s="42"/>
      <c r="V30" s="70">
        <f t="shared" si="2"/>
        <v>17533659.172499999</v>
      </c>
      <c r="W30" s="71">
        <v>11000000</v>
      </c>
      <c r="X30" s="71">
        <f>4400000</f>
        <v>4400000</v>
      </c>
      <c r="Y30" s="71">
        <f t="shared" si="17"/>
        <v>1474637.1724999994</v>
      </c>
      <c r="Z30" s="71">
        <f t="shared" si="18"/>
        <v>73732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1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6035567.3380000005</v>
      </c>
      <c r="K31" s="36">
        <f t="shared" si="12"/>
        <v>17594567.338</v>
      </c>
      <c r="L31" s="37">
        <f t="shared" si="6"/>
        <v>459680</v>
      </c>
      <c r="M31" s="38">
        <f t="shared" si="7"/>
        <v>86190</v>
      </c>
      <c r="N31" s="39">
        <f t="shared" si="8"/>
        <v>57460</v>
      </c>
      <c r="O31" s="40">
        <f t="shared" si="9"/>
        <v>603330</v>
      </c>
      <c r="P31" s="38">
        <f t="shared" si="13"/>
        <v>1005549.9999999999</v>
      </c>
      <c r="Q31" s="38">
        <f t="shared" si="14"/>
        <v>172380</v>
      </c>
      <c r="R31" s="38">
        <f t="shared" si="15"/>
        <v>57460</v>
      </c>
      <c r="S31" s="40">
        <f t="shared" si="10"/>
        <v>1235390</v>
      </c>
      <c r="T31" s="41">
        <f>K31-O31</f>
        <v>16991237.338</v>
      </c>
      <c r="U31" s="42"/>
      <c r="V31" s="70">
        <f t="shared" si="2"/>
        <v>16864567.338</v>
      </c>
      <c r="W31" s="71">
        <v>11000000</v>
      </c>
      <c r="X31" s="71">
        <f>4400000*3</f>
        <v>13200000</v>
      </c>
      <c r="Y31" s="71">
        <f t="shared" si="17"/>
        <v>0</v>
      </c>
      <c r="Z31" s="71">
        <f t="shared" si="18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1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6035567.3380000005</v>
      </c>
      <c r="K32" s="36">
        <f t="shared" si="12"/>
        <v>17594567.338</v>
      </c>
      <c r="L32" s="37">
        <f t="shared" si="6"/>
        <v>459680</v>
      </c>
      <c r="M32" s="38">
        <f t="shared" si="7"/>
        <v>86190</v>
      </c>
      <c r="N32" s="39">
        <f t="shared" si="8"/>
        <v>57460</v>
      </c>
      <c r="O32" s="40">
        <f t="shared" si="9"/>
        <v>603330</v>
      </c>
      <c r="P32" s="38">
        <f t="shared" si="13"/>
        <v>1005549.9999999999</v>
      </c>
      <c r="Q32" s="38">
        <f t="shared" si="14"/>
        <v>172380</v>
      </c>
      <c r="R32" s="38">
        <f t="shared" si="15"/>
        <v>57460</v>
      </c>
      <c r="S32" s="40">
        <f t="shared" si="10"/>
        <v>1235390</v>
      </c>
      <c r="T32" s="41">
        <f>K32-O32</f>
        <v>16991237.338</v>
      </c>
      <c r="U32" s="42"/>
      <c r="V32" s="70">
        <f t="shared" si="2"/>
        <v>16864567.338</v>
      </c>
      <c r="W32" s="71">
        <v>11000000</v>
      </c>
      <c r="X32" s="71">
        <f>4400000*3</f>
        <v>13200000</v>
      </c>
      <c r="Y32" s="71">
        <f t="shared" si="17"/>
        <v>0</v>
      </c>
      <c r="Z32" s="71">
        <f t="shared" si="18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1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5480232.6179999998</v>
      </c>
      <c r="K33" s="36">
        <f t="shared" si="12"/>
        <v>17039232.618000001</v>
      </c>
      <c r="L33" s="37">
        <f t="shared" si="6"/>
        <v>459680</v>
      </c>
      <c r="M33" s="38">
        <f t="shared" si="7"/>
        <v>86190</v>
      </c>
      <c r="N33" s="39">
        <f t="shared" si="8"/>
        <v>57460</v>
      </c>
      <c r="O33" s="40">
        <f t="shared" si="9"/>
        <v>603330</v>
      </c>
      <c r="P33" s="38">
        <f t="shared" si="13"/>
        <v>1005549.9999999999</v>
      </c>
      <c r="Q33" s="38">
        <f t="shared" si="14"/>
        <v>172380</v>
      </c>
      <c r="R33" s="38">
        <f t="shared" si="15"/>
        <v>57460</v>
      </c>
      <c r="S33" s="40">
        <f t="shared" si="10"/>
        <v>1235390</v>
      </c>
      <c r="T33" s="41">
        <f>K33-O33</f>
        <v>16435902.618000001</v>
      </c>
      <c r="U33" s="42"/>
      <c r="V33" s="70">
        <f t="shared" si="2"/>
        <v>16309232.618000001</v>
      </c>
      <c r="W33" s="71">
        <v>11000000</v>
      </c>
      <c r="X33" s="71"/>
      <c r="Y33" s="71">
        <f t="shared" si="17"/>
        <v>4705902.6180000007</v>
      </c>
      <c r="Z33" s="71">
        <f t="shared" si="18"/>
        <v>235295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1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10562242.841500001</v>
      </c>
      <c r="K34" s="36">
        <f t="shared" si="12"/>
        <v>23072842.841499999</v>
      </c>
      <c r="L34" s="37">
        <f t="shared" si="6"/>
        <v>634816</v>
      </c>
      <c r="M34" s="38">
        <f t="shared" si="7"/>
        <v>119028</v>
      </c>
      <c r="N34" s="39">
        <f t="shared" si="8"/>
        <v>79352</v>
      </c>
      <c r="O34" s="40">
        <f t="shared" si="9"/>
        <v>833196</v>
      </c>
      <c r="P34" s="38">
        <f t="shared" si="13"/>
        <v>1388660</v>
      </c>
      <c r="Q34" s="38">
        <f t="shared" si="14"/>
        <v>238056</v>
      </c>
      <c r="R34" s="38">
        <f t="shared" si="15"/>
        <v>79352</v>
      </c>
      <c r="S34" s="40">
        <f t="shared" si="10"/>
        <v>1706068</v>
      </c>
      <c r="T34" s="41">
        <f>K34-O34</f>
        <v>22239646.841499999</v>
      </c>
      <c r="U34" s="42"/>
      <c r="V34" s="70">
        <f t="shared" si="2"/>
        <v>22342842.841499999</v>
      </c>
      <c r="W34" s="71">
        <v>11000000</v>
      </c>
      <c r="X34" s="71">
        <f>4400000*3</f>
        <v>13200000</v>
      </c>
      <c r="Y34" s="71">
        <f t="shared" si="17"/>
        <v>0</v>
      </c>
      <c r="Z34" s="71">
        <f t="shared" si="18"/>
        <v>0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11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5480232.6179999998</v>
      </c>
      <c r="K35" s="36">
        <f t="shared" si="12"/>
        <v>16511432.618000001</v>
      </c>
      <c r="L35" s="37">
        <f t="shared" si="6"/>
        <v>527072</v>
      </c>
      <c r="M35" s="38">
        <f t="shared" si="7"/>
        <v>98826</v>
      </c>
      <c r="N35" s="39">
        <f t="shared" si="8"/>
        <v>65884</v>
      </c>
      <c r="O35" s="40">
        <f>L35+M35+N35</f>
        <v>691782</v>
      </c>
      <c r="P35" s="38">
        <f>D35*17.5%</f>
        <v>1152970</v>
      </c>
      <c r="Q35" s="38">
        <f t="shared" si="14"/>
        <v>197652</v>
      </c>
      <c r="R35" s="38">
        <f t="shared" si="15"/>
        <v>65884</v>
      </c>
      <c r="S35" s="40">
        <f t="shared" si="10"/>
        <v>1416506</v>
      </c>
      <c r="T35" s="41">
        <f t="shared" ref="T35:T36" si="21">K35-O35</f>
        <v>15819650.618000001</v>
      </c>
      <c r="U35" s="42"/>
      <c r="V35" s="70">
        <f t="shared" si="2"/>
        <v>15781432.618000001</v>
      </c>
      <c r="W35" s="71">
        <v>11000000</v>
      </c>
      <c r="X35" s="71"/>
      <c r="Y35" s="71">
        <f t="shared" si="17"/>
        <v>4089650.6180000007</v>
      </c>
      <c r="Z35" s="71">
        <f t="shared" si="18"/>
        <v>204483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11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8220348.9270000001</v>
      </c>
      <c r="K36" s="36">
        <f t="shared" si="12"/>
        <v>19251548.927000001</v>
      </c>
      <c r="L36" s="37">
        <f t="shared" si="6"/>
        <v>527072</v>
      </c>
      <c r="M36" s="38">
        <f t="shared" si="7"/>
        <v>98826</v>
      </c>
      <c r="N36" s="39">
        <f t="shared" si="8"/>
        <v>65884</v>
      </c>
      <c r="O36" s="40">
        <f>L36+M36+N36</f>
        <v>691782</v>
      </c>
      <c r="P36" s="38">
        <f>D36*17.5%</f>
        <v>1152970</v>
      </c>
      <c r="Q36" s="38">
        <f t="shared" si="14"/>
        <v>197652</v>
      </c>
      <c r="R36" s="38">
        <f t="shared" si="15"/>
        <v>65884</v>
      </c>
      <c r="S36" s="40">
        <f t="shared" si="10"/>
        <v>1416506</v>
      </c>
      <c r="T36" s="41">
        <f t="shared" si="21"/>
        <v>18559766.927000001</v>
      </c>
      <c r="U36" s="42"/>
      <c r="V36" s="70">
        <f t="shared" si="2"/>
        <v>18521548.927000001</v>
      </c>
      <c r="W36" s="71">
        <v>11000000</v>
      </c>
      <c r="X36" s="71">
        <f>4400000</f>
        <v>4400000</v>
      </c>
      <c r="Y36" s="71">
        <f t="shared" si="17"/>
        <v>2429766.9270000011</v>
      </c>
      <c r="Z36" s="71">
        <f t="shared" si="18"/>
        <v>121488</v>
      </c>
    </row>
    <row r="37" spans="1:26" s="53" customFormat="1" ht="21.75" customHeight="1" x14ac:dyDescent="0.25">
      <c r="A37" s="29"/>
      <c r="B37" s="30"/>
      <c r="C37" s="31"/>
      <c r="D37" s="32"/>
      <c r="E37" s="33"/>
      <c r="F37" s="34"/>
      <c r="G37" s="34"/>
      <c r="H37" s="35"/>
      <c r="I37" s="35"/>
      <c r="J37" s="35"/>
      <c r="K37" s="36"/>
      <c r="L37" s="37"/>
      <c r="M37" s="38"/>
      <c r="N37" s="39"/>
      <c r="O37" s="40"/>
      <c r="P37" s="38"/>
      <c r="Q37" s="38"/>
      <c r="R37" s="38"/>
      <c r="S37" s="40"/>
      <c r="T37" s="41"/>
      <c r="U37" s="42"/>
      <c r="V37" s="70"/>
      <c r="W37" s="71"/>
      <c r="X37" s="71"/>
      <c r="Y37" s="71"/>
      <c r="Z37" s="71"/>
    </row>
    <row r="38" spans="1:26" s="53" customFormat="1" ht="21.75" customHeight="1" x14ac:dyDescent="0.25">
      <c r="A38" s="29"/>
      <c r="B38" s="30"/>
      <c r="C38" s="31"/>
      <c r="D38" s="32"/>
      <c r="E38" s="33"/>
      <c r="F38" s="34"/>
      <c r="G38" s="34"/>
      <c r="H38" s="35"/>
      <c r="I38" s="35"/>
      <c r="J38" s="35"/>
      <c r="K38" s="36"/>
      <c r="L38" s="37"/>
      <c r="M38" s="38"/>
      <c r="N38" s="39"/>
      <c r="O38" s="40"/>
      <c r="P38" s="38"/>
      <c r="Q38" s="38"/>
      <c r="R38" s="38"/>
      <c r="S38" s="40"/>
      <c r="T38" s="41"/>
      <c r="U38" s="42"/>
      <c r="V38" s="70"/>
      <c r="W38" s="71"/>
      <c r="X38" s="71"/>
      <c r="Y38" s="71"/>
      <c r="Z38" s="71"/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SUM(D44:D50)</f>
        <v>36238400</v>
      </c>
      <c r="E43" s="51">
        <f t="shared" ref="E43:Z43" si="22">SUM(E44:E50)</f>
        <v>156</v>
      </c>
      <c r="F43" s="51">
        <f t="shared" si="22"/>
        <v>29338200</v>
      </c>
      <c r="G43" s="51">
        <f t="shared" si="22"/>
        <v>6900200</v>
      </c>
      <c r="H43" s="51">
        <f t="shared" si="22"/>
        <v>22674600</v>
      </c>
      <c r="I43" s="51">
        <f t="shared" si="22"/>
        <v>4380000</v>
      </c>
      <c r="J43" s="51">
        <f t="shared" si="22"/>
        <v>0</v>
      </c>
      <c r="K43" s="51">
        <f t="shared" si="22"/>
        <v>63293000</v>
      </c>
      <c r="L43" s="51">
        <f t="shared" si="22"/>
        <v>2899072</v>
      </c>
      <c r="M43" s="51">
        <f t="shared" si="22"/>
        <v>543576</v>
      </c>
      <c r="N43" s="51">
        <f t="shared" si="22"/>
        <v>362384</v>
      </c>
      <c r="O43" s="51">
        <f>SUM(O44:O50)</f>
        <v>3805032</v>
      </c>
      <c r="P43" s="51">
        <f t="shared" si="22"/>
        <v>6341720</v>
      </c>
      <c r="Q43" s="51">
        <f t="shared" si="22"/>
        <v>1087152</v>
      </c>
      <c r="R43" s="51">
        <f t="shared" si="22"/>
        <v>362384</v>
      </c>
      <c r="S43" s="51">
        <f>SUM(S44:S50)</f>
        <v>7791256</v>
      </c>
      <c r="T43" s="51">
        <f t="shared" si="22"/>
        <v>59487968</v>
      </c>
      <c r="U43" s="51">
        <f t="shared" si="22"/>
        <v>0</v>
      </c>
      <c r="V43" s="51">
        <f>SUM(V44:V50)</f>
        <v>58913000</v>
      </c>
      <c r="W43" s="51">
        <f t="shared" si="22"/>
        <v>66000000</v>
      </c>
      <c r="X43" s="51">
        <f t="shared" si="22"/>
        <v>4400000</v>
      </c>
      <c r="Y43" s="51">
        <f t="shared" si="22"/>
        <v>0</v>
      </c>
      <c r="Z43" s="51">
        <f t="shared" si="22"/>
        <v>0</v>
      </c>
    </row>
    <row r="44" spans="1:26" s="26" customFormat="1" ht="21.75" customHeight="1" x14ac:dyDescent="0.25">
      <c r="A44" s="29">
        <v>24</v>
      </c>
      <c r="B44" s="30" t="s">
        <v>42</v>
      </c>
      <c r="C44" s="31" t="s">
        <v>41</v>
      </c>
      <c r="D44" s="43">
        <f t="shared" ref="D44:D49" si="23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49" si="24">D44*8%</f>
        <v>443632</v>
      </c>
      <c r="M44" s="38">
        <f t="shared" ref="M44:M49" si="25">D44*1.5%</f>
        <v>83181</v>
      </c>
      <c r="N44" s="39">
        <f t="shared" ref="N44:N49" si="26">D44*1%</f>
        <v>55454</v>
      </c>
      <c r="O44" s="40">
        <f t="shared" ref="O44:O49" si="27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49" si="28">P44+Q44+R44</f>
        <v>1192261</v>
      </c>
      <c r="T44" s="41">
        <f t="shared" ref="T44:T46" si="29">K44-O44</f>
        <v>9450133</v>
      </c>
      <c r="U44" s="42"/>
      <c r="V44" s="70">
        <f t="shared" si="2"/>
        <v>9302400</v>
      </c>
      <c r="W44" s="71">
        <v>11000000</v>
      </c>
      <c r="X44" s="71"/>
      <c r="Y44" s="71">
        <f t="shared" si="17"/>
        <v>0</v>
      </c>
      <c r="Z44" s="71">
        <f t="shared" si="18"/>
        <v>0</v>
      </c>
    </row>
    <row r="45" spans="1:26" s="26" customFormat="1" ht="21.75" customHeight="1" x14ac:dyDescent="0.25">
      <c r="A45" s="29">
        <v>25</v>
      </c>
      <c r="B45" s="30" t="s">
        <v>79</v>
      </c>
      <c r="C45" s="31" t="s">
        <v>40</v>
      </c>
      <c r="D45" s="43">
        <f t="shared" si="23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50" si="30">F45+G45+H45+I45+J45</f>
        <v>10542400</v>
      </c>
      <c r="L45" s="37">
        <f t="shared" si="24"/>
        <v>484432</v>
      </c>
      <c r="M45" s="38">
        <f t="shared" si="25"/>
        <v>90831</v>
      </c>
      <c r="N45" s="39">
        <f t="shared" si="26"/>
        <v>60554</v>
      </c>
      <c r="O45" s="40">
        <f t="shared" si="27"/>
        <v>635817</v>
      </c>
      <c r="P45" s="38">
        <f t="shared" ref="P45:P48" si="31">D45*17.5%</f>
        <v>1059695</v>
      </c>
      <c r="Q45" s="38">
        <f t="shared" ref="Q45:Q49" si="32">D45*3%</f>
        <v>181662</v>
      </c>
      <c r="R45" s="38">
        <f t="shared" ref="R45:R49" si="33">D45*1%</f>
        <v>60554</v>
      </c>
      <c r="S45" s="40">
        <f t="shared" si="28"/>
        <v>1301911</v>
      </c>
      <c r="T45" s="41">
        <f t="shared" si="29"/>
        <v>9906583</v>
      </c>
      <c r="U45" s="42"/>
      <c r="V45" s="70">
        <f t="shared" si="2"/>
        <v>9812400</v>
      </c>
      <c r="W45" s="71">
        <v>11000000</v>
      </c>
      <c r="X45" s="71">
        <f>4400000</f>
        <v>4400000</v>
      </c>
      <c r="Y45" s="71">
        <f t="shared" si="17"/>
        <v>0</v>
      </c>
      <c r="Z45" s="71">
        <f t="shared" si="18"/>
        <v>0</v>
      </c>
    </row>
    <row r="46" spans="1:26" s="14" customFormat="1" ht="21.75" customHeight="1" x14ac:dyDescent="0.25">
      <c r="A46" s="29">
        <v>26</v>
      </c>
      <c r="B46" s="30" t="s">
        <v>81</v>
      </c>
      <c r="C46" s="31" t="s">
        <v>41</v>
      </c>
      <c r="D46" s="43">
        <f t="shared" si="23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0"/>
        <v>10233000</v>
      </c>
      <c r="L46" s="37">
        <f t="shared" si="24"/>
        <v>459680</v>
      </c>
      <c r="M46" s="38">
        <f t="shared" si="25"/>
        <v>86190</v>
      </c>
      <c r="N46" s="39">
        <f t="shared" si="26"/>
        <v>57460</v>
      </c>
      <c r="O46" s="40">
        <f t="shared" si="27"/>
        <v>603330</v>
      </c>
      <c r="P46" s="38">
        <f t="shared" si="31"/>
        <v>1005549.9999999999</v>
      </c>
      <c r="Q46" s="38">
        <f t="shared" si="32"/>
        <v>172380</v>
      </c>
      <c r="R46" s="38">
        <f t="shared" si="33"/>
        <v>57460</v>
      </c>
      <c r="S46" s="40">
        <f t="shared" si="28"/>
        <v>1235390</v>
      </c>
      <c r="T46" s="41">
        <f t="shared" si="29"/>
        <v>9629670</v>
      </c>
      <c r="U46" s="42"/>
      <c r="V46" s="70">
        <f t="shared" si="2"/>
        <v>9503000</v>
      </c>
      <c r="W46" s="71">
        <v>11000000</v>
      </c>
      <c r="X46" s="71"/>
      <c r="Y46" s="71">
        <f t="shared" si="17"/>
        <v>0</v>
      </c>
      <c r="Z46" s="71">
        <f t="shared" si="18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8"/>
        <v>0</v>
      </c>
    </row>
    <row r="48" spans="1:26" s="14" customFormat="1" ht="17.25" customHeight="1" x14ac:dyDescent="0.25">
      <c r="A48" s="29">
        <v>27</v>
      </c>
      <c r="B48" s="64" t="s">
        <v>105</v>
      </c>
      <c r="C48" s="31" t="s">
        <v>40</v>
      </c>
      <c r="D48" s="43">
        <f t="shared" si="23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0"/>
        <v>10828400</v>
      </c>
      <c r="L48" s="37">
        <f t="shared" si="24"/>
        <v>503776</v>
      </c>
      <c r="M48" s="38">
        <f t="shared" si="25"/>
        <v>94458</v>
      </c>
      <c r="N48" s="39">
        <f t="shared" si="26"/>
        <v>62972</v>
      </c>
      <c r="O48" s="40">
        <f t="shared" si="27"/>
        <v>661206</v>
      </c>
      <c r="P48" s="38">
        <f t="shared" si="31"/>
        <v>1102010</v>
      </c>
      <c r="Q48" s="38">
        <f t="shared" si="32"/>
        <v>188916</v>
      </c>
      <c r="R48" s="38">
        <f t="shared" si="33"/>
        <v>62972</v>
      </c>
      <c r="S48" s="40">
        <f t="shared" si="28"/>
        <v>1353898</v>
      </c>
      <c r="T48" s="41">
        <f>K48-O48</f>
        <v>10167194</v>
      </c>
      <c r="U48" s="42"/>
      <c r="V48" s="70">
        <f t="shared" si="2"/>
        <v>10098400</v>
      </c>
      <c r="W48" s="71">
        <v>11000000</v>
      </c>
      <c r="X48" s="71"/>
      <c r="Y48" s="71">
        <f t="shared" si="17"/>
        <v>0</v>
      </c>
      <c r="Z48" s="71">
        <f t="shared" si="18"/>
        <v>0</v>
      </c>
    </row>
    <row r="49" spans="1:26" s="14" customFormat="1" ht="17.25" customHeight="1" x14ac:dyDescent="0.25">
      <c r="A49" s="62">
        <v>28</v>
      </c>
      <c r="B49" s="30" t="s">
        <v>106</v>
      </c>
      <c r="C49" s="31" t="s">
        <v>40</v>
      </c>
      <c r="D49" s="43">
        <f t="shared" si="23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30"/>
        <v>10828400</v>
      </c>
      <c r="L49" s="37">
        <f t="shared" si="24"/>
        <v>503776</v>
      </c>
      <c r="M49" s="38">
        <f t="shared" si="25"/>
        <v>94458</v>
      </c>
      <c r="N49" s="39">
        <f t="shared" si="26"/>
        <v>62972</v>
      </c>
      <c r="O49" s="40">
        <f t="shared" si="27"/>
        <v>661206</v>
      </c>
      <c r="P49" s="38">
        <f>D49*17.5%</f>
        <v>1102010</v>
      </c>
      <c r="Q49" s="38">
        <f t="shared" si="32"/>
        <v>188916</v>
      </c>
      <c r="R49" s="38">
        <f t="shared" si="33"/>
        <v>62972</v>
      </c>
      <c r="S49" s="40">
        <f t="shared" si="28"/>
        <v>1353898</v>
      </c>
      <c r="T49" s="41">
        <f>K49-O49</f>
        <v>10167194</v>
      </c>
      <c r="U49" s="42"/>
      <c r="V49" s="70">
        <f t="shared" si="2"/>
        <v>10098400</v>
      </c>
      <c r="W49" s="71">
        <v>11000000</v>
      </c>
      <c r="X49" s="71"/>
      <c r="Y49" s="71">
        <f t="shared" si="17"/>
        <v>0</v>
      </c>
      <c r="Z49" s="71">
        <f t="shared" si="18"/>
        <v>0</v>
      </c>
    </row>
    <row r="50" spans="1:26" s="14" customFormat="1" ht="17.25" customHeight="1" x14ac:dyDescent="0.25">
      <c r="A50" s="29">
        <v>29</v>
      </c>
      <c r="B50" s="64" t="s">
        <v>124</v>
      </c>
      <c r="C50" s="31" t="s">
        <v>40</v>
      </c>
      <c r="D50" s="43">
        <f t="shared" ref="D50" si="34">F50+G50</f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30"/>
        <v>10828400</v>
      </c>
      <c r="L50" s="37">
        <f t="shared" ref="L50" si="35">D50*8%</f>
        <v>503776</v>
      </c>
      <c r="M50" s="38">
        <f t="shared" ref="M50" si="36">D50*1.5%</f>
        <v>94458</v>
      </c>
      <c r="N50" s="39">
        <f t="shared" ref="N50" si="37">D50*1%</f>
        <v>62972</v>
      </c>
      <c r="O50" s="40">
        <f t="shared" ref="O50" si="38">L50+M50+N50</f>
        <v>661206</v>
      </c>
      <c r="P50" s="38">
        <f>D50*17.5%</f>
        <v>1102010</v>
      </c>
      <c r="Q50" s="38">
        <f t="shared" ref="Q50" si="39">D50*3%</f>
        <v>188916</v>
      </c>
      <c r="R50" s="38">
        <f t="shared" ref="R50" si="40">D50*1%</f>
        <v>62972</v>
      </c>
      <c r="S50" s="40">
        <f t="shared" ref="S50" si="41">P50+Q50+R50</f>
        <v>1353898</v>
      </c>
      <c r="T50" s="41">
        <f>K50-O50</f>
        <v>10167194</v>
      </c>
      <c r="U50" s="42"/>
      <c r="V50" s="70">
        <f t="shared" ref="V50" si="42">K50-I50</f>
        <v>10098400</v>
      </c>
      <c r="W50" s="71">
        <v>11000000</v>
      </c>
      <c r="X50" s="71"/>
      <c r="Y50" s="71"/>
      <c r="Z50" s="71"/>
    </row>
    <row r="51" spans="1:26" s="14" customFormat="1" ht="17.25" customHeight="1" x14ac:dyDescent="0.25">
      <c r="A51" s="62"/>
      <c r="B51" s="64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70"/>
      <c r="W51" s="71"/>
      <c r="X51" s="71"/>
      <c r="Y51" s="71"/>
      <c r="Z51" s="71"/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Y52" si="43">D11+D13+D15+D43</f>
        <v>188449000</v>
      </c>
      <c r="E52" s="47">
        <f t="shared" si="43"/>
        <v>754</v>
      </c>
      <c r="F52" s="47">
        <f t="shared" si="43"/>
        <v>154483600</v>
      </c>
      <c r="G52" s="47">
        <f t="shared" si="43"/>
        <v>33965400</v>
      </c>
      <c r="H52" s="47">
        <f t="shared" si="43"/>
        <v>119782000</v>
      </c>
      <c r="I52" s="47">
        <f t="shared" si="43"/>
        <v>20440000</v>
      </c>
      <c r="J52" s="47">
        <f t="shared" si="43"/>
        <v>144206888.1645</v>
      </c>
      <c r="K52" s="47">
        <f t="shared" si="43"/>
        <v>459712688.16449994</v>
      </c>
      <c r="L52" s="47">
        <f t="shared" si="43"/>
        <v>15075920</v>
      </c>
      <c r="M52" s="47">
        <f t="shared" si="43"/>
        <v>2826735</v>
      </c>
      <c r="N52" s="47">
        <f t="shared" si="43"/>
        <v>1884490</v>
      </c>
      <c r="O52" s="47">
        <f>O11+O13+O15+O43</f>
        <v>19787145</v>
      </c>
      <c r="P52" s="47">
        <f t="shared" si="43"/>
        <v>32978575</v>
      </c>
      <c r="Q52" s="47">
        <f t="shared" si="43"/>
        <v>5653470</v>
      </c>
      <c r="R52" s="47">
        <f t="shared" si="43"/>
        <v>1884490</v>
      </c>
      <c r="S52" s="47">
        <f t="shared" si="43"/>
        <v>40516535</v>
      </c>
      <c r="T52" s="47">
        <f t="shared" si="43"/>
        <v>441307889.16449994</v>
      </c>
      <c r="U52" s="47">
        <f t="shared" si="43"/>
        <v>0</v>
      </c>
      <c r="V52" s="47">
        <f>V11+V13+V15+V43</f>
        <v>439272688.16449994</v>
      </c>
      <c r="W52" s="47">
        <f t="shared" si="43"/>
        <v>308000000</v>
      </c>
      <c r="X52" s="47">
        <f>X11+X13+X15+X43</f>
        <v>114400000</v>
      </c>
      <c r="Y52" s="47">
        <f t="shared" si="43"/>
        <v>51911251.699000008</v>
      </c>
      <c r="Z52" s="47">
        <f>Z11+Z13+Z15+Z43</f>
        <v>2754367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127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8">
        <f>L52+P52</f>
        <v>48054495</v>
      </c>
      <c r="R56" s="18">
        <f t="shared" ref="R56:S56" si="44">M52+Q52</f>
        <v>8480205</v>
      </c>
      <c r="S56" s="18">
        <f t="shared" si="44"/>
        <v>3768980</v>
      </c>
      <c r="T56" s="18">
        <f>O52+S52</f>
        <v>60303680</v>
      </c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>
        <f>T56+O49+S49</f>
        <v>62318784</v>
      </c>
      <c r="U57" s="16"/>
      <c r="W57" s="73"/>
      <c r="X57" s="73"/>
      <c r="Y57" s="73"/>
      <c r="Z57" s="73"/>
    </row>
    <row r="58" spans="1:26" ht="17.2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52:B52"/>
    <mergeCell ref="N53:T53"/>
    <mergeCell ref="N54:T54"/>
    <mergeCell ref="N55:T55"/>
    <mergeCell ref="U8:U9"/>
    <mergeCell ref="T8:T9"/>
    <mergeCell ref="A11:C11"/>
    <mergeCell ref="A13:C13"/>
    <mergeCell ref="A15:C15"/>
    <mergeCell ref="A43:C43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J8:J9"/>
    <mergeCell ref="V8:V9"/>
    <mergeCell ref="W8:W9"/>
    <mergeCell ref="X8:X9"/>
    <mergeCell ref="Y8:Y9"/>
    <mergeCell ref="Z8:Z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pane xSplit="1" ySplit="9" topLeftCell="C37" activePane="bottomRight" state="frozen"/>
      <selection pane="topRight" activeCell="B1" sqref="B1"/>
      <selection pane="bottomLeft" activeCell="A10" sqref="A10"/>
      <selection pane="bottomRight" activeCell="Z39" sqref="Z3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425781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12.85546875" style="13" bestFit="1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132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/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0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/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SUM(D16:D38)</f>
        <v>132362600</v>
      </c>
      <c r="E15" s="51">
        <f t="shared" ref="E15:Z15" si="3">SUM(E16:E38)</f>
        <v>598</v>
      </c>
      <c r="F15" s="51">
        <f t="shared" si="3"/>
        <v>124233400</v>
      </c>
      <c r="G15" s="51">
        <f t="shared" si="3"/>
        <v>23129200</v>
      </c>
      <c r="H15" s="51">
        <f t="shared" si="3"/>
        <v>96753800</v>
      </c>
      <c r="I15" s="51">
        <f t="shared" si="3"/>
        <v>16060000</v>
      </c>
      <c r="J15" s="51">
        <f t="shared" si="3"/>
        <v>130397304.81500003</v>
      </c>
      <c r="K15" s="51">
        <f>SUM(K16:K38)</f>
        <v>390573704.81499994</v>
      </c>
      <c r="L15" s="51">
        <f t="shared" si="3"/>
        <v>10589008</v>
      </c>
      <c r="M15" s="51">
        <f t="shared" si="3"/>
        <v>1985439</v>
      </c>
      <c r="N15" s="51">
        <f t="shared" si="3"/>
        <v>1323626</v>
      </c>
      <c r="O15" s="51">
        <f t="shared" si="3"/>
        <v>13898073</v>
      </c>
      <c r="P15" s="51">
        <f t="shared" si="3"/>
        <v>23163455</v>
      </c>
      <c r="Q15" s="51">
        <f t="shared" si="3"/>
        <v>3970878</v>
      </c>
      <c r="R15" s="51">
        <f t="shared" si="3"/>
        <v>1323626</v>
      </c>
      <c r="S15" s="51">
        <f t="shared" si="3"/>
        <v>28457959</v>
      </c>
      <c r="T15" s="51">
        <f t="shared" si="3"/>
        <v>376675631.81499988</v>
      </c>
      <c r="U15" s="51">
        <f t="shared" si="3"/>
        <v>0</v>
      </c>
      <c r="V15" s="51">
        <f t="shared" si="3"/>
        <v>374513704.81499988</v>
      </c>
      <c r="W15" s="51">
        <f t="shared" si="3"/>
        <v>242000000</v>
      </c>
      <c r="X15" s="51">
        <f t="shared" si="3"/>
        <v>110000000</v>
      </c>
      <c r="Y15" s="51">
        <f t="shared" si="3"/>
        <v>49248305.189999998</v>
      </c>
      <c r="Z15" s="51">
        <f t="shared" si="3"/>
        <v>3275681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7622960.3030000003</v>
      </c>
      <c r="K16" s="36">
        <f>F16+G16+H16+I16+J16</f>
        <v>18335760.302999999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 t="shared" ref="P16:P37" si="8">D16*17.5%</f>
        <v>1097250</v>
      </c>
      <c r="Q16" s="38">
        <f t="shared" ref="Q16:Q37" si="9">D16*3%</f>
        <v>188100</v>
      </c>
      <c r="R16" s="38">
        <f t="shared" ref="R16:R37" si="10">D16*1%</f>
        <v>62700</v>
      </c>
      <c r="S16" s="40">
        <f t="shared" ref="S16:S37" si="11">P16+Q16+R16</f>
        <v>1348050</v>
      </c>
      <c r="T16" s="41">
        <f>K16-O16</f>
        <v>17677410.302999999</v>
      </c>
      <c r="U16" s="42"/>
      <c r="V16" s="70">
        <f>K16-I16</f>
        <v>17605760.302999999</v>
      </c>
      <c r="W16" s="71">
        <v>11000000</v>
      </c>
      <c r="X16" s="71"/>
      <c r="Y16" s="71">
        <f>MAX(V16-O16-W16-X16,0)</f>
        <v>5947410.3029999994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344741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12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6533965.9740000004</v>
      </c>
      <c r="K17" s="36">
        <f t="shared" ref="K17:K37" si="13">F17+G17+H17+I17+J17</f>
        <v>16721165.973999999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si="8"/>
        <v>1005269.9999999999</v>
      </c>
      <c r="Q17" s="38">
        <f t="shared" si="9"/>
        <v>172332</v>
      </c>
      <c r="R17" s="38">
        <f t="shared" si="10"/>
        <v>57444</v>
      </c>
      <c r="S17" s="40">
        <f t="shared" si="11"/>
        <v>1235046</v>
      </c>
      <c r="T17" s="41">
        <f t="shared" ref="T17:T24" si="14">K17-O17</f>
        <v>16118003.973999999</v>
      </c>
      <c r="U17" s="42"/>
      <c r="V17" s="70">
        <f t="shared" si="1"/>
        <v>15991165.973999999</v>
      </c>
      <c r="W17" s="71">
        <v>11000000</v>
      </c>
      <c r="X17" s="71">
        <f>4400000</f>
        <v>4400000</v>
      </c>
      <c r="Y17" s="71">
        <f t="shared" ref="Y17:Y49" si="15">MAX(V17-O17-W17-X17,0)</f>
        <v>0</v>
      </c>
      <c r="Z17" s="71">
        <f t="shared" ref="Z17:Z49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2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6533965.9740000004</v>
      </c>
      <c r="K18" s="36">
        <f t="shared" si="13"/>
        <v>16721165.973999999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8"/>
        <v>1005269.9999999999</v>
      </c>
      <c r="Q18" s="38">
        <f t="shared" si="9"/>
        <v>172332</v>
      </c>
      <c r="R18" s="38">
        <f t="shared" si="10"/>
        <v>57444</v>
      </c>
      <c r="S18" s="40">
        <f t="shared" si="11"/>
        <v>1235046</v>
      </c>
      <c r="T18" s="41">
        <f t="shared" si="14"/>
        <v>16118003.973999999</v>
      </c>
      <c r="U18" s="42"/>
      <c r="V18" s="70">
        <f t="shared" si="1"/>
        <v>15991165.973999999</v>
      </c>
      <c r="W18" s="71">
        <v>11000000</v>
      </c>
      <c r="X18" s="71">
        <f>4400000</f>
        <v>4400000</v>
      </c>
      <c r="Y18" s="71">
        <f t="shared" si="15"/>
        <v>0</v>
      </c>
      <c r="Z18" s="71">
        <f t="shared" si="16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4355977.3159999996</v>
      </c>
      <c r="K19" s="36">
        <f t="shared" si="13"/>
        <v>15714377.316</v>
      </c>
      <c r="L19" s="37">
        <f t="shared" si="4"/>
        <v>443632</v>
      </c>
      <c r="M19" s="38">
        <f t="shared" si="5"/>
        <v>83181</v>
      </c>
      <c r="N19" s="39">
        <f t="shared" si="6"/>
        <v>55454</v>
      </c>
      <c r="O19" s="40">
        <f>L19+M19+N19</f>
        <v>582267</v>
      </c>
      <c r="P19" s="38">
        <f t="shared" si="8"/>
        <v>970444.99999999988</v>
      </c>
      <c r="Q19" s="38">
        <f t="shared" si="9"/>
        <v>166362</v>
      </c>
      <c r="R19" s="38">
        <f t="shared" si="10"/>
        <v>55454</v>
      </c>
      <c r="S19" s="40">
        <f>P19+Q19+R19</f>
        <v>1192261</v>
      </c>
      <c r="T19" s="41">
        <f>K19-O19</f>
        <v>15132110.316</v>
      </c>
      <c r="U19" s="42"/>
      <c r="V19" s="70">
        <f t="shared" si="1"/>
        <v>14984377.316</v>
      </c>
      <c r="W19" s="71">
        <v>11000000</v>
      </c>
      <c r="X19" s="71"/>
      <c r="Y19" s="71">
        <f t="shared" si="15"/>
        <v>3402110.3159999996</v>
      </c>
      <c r="Z19" s="71">
        <f t="shared" si="16"/>
        <v>170106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7615315.5650000004</v>
      </c>
      <c r="K20" s="36">
        <f t="shared" si="13"/>
        <v>18328115.565000001</v>
      </c>
      <c r="L20" s="37">
        <f t="shared" si="4"/>
        <v>501600</v>
      </c>
      <c r="M20" s="38">
        <f t="shared" si="5"/>
        <v>94050</v>
      </c>
      <c r="N20" s="39">
        <f t="shared" si="6"/>
        <v>62700</v>
      </c>
      <c r="O20" s="40">
        <f>L20+M20+N20</f>
        <v>658350</v>
      </c>
      <c r="P20" s="38">
        <f t="shared" si="8"/>
        <v>1097250</v>
      </c>
      <c r="Q20" s="38">
        <f t="shared" si="9"/>
        <v>188100</v>
      </c>
      <c r="R20" s="38">
        <f t="shared" si="10"/>
        <v>62700</v>
      </c>
      <c r="S20" s="40">
        <f>P20+Q20+R20</f>
        <v>1348050</v>
      </c>
      <c r="T20" s="41">
        <f>K20-O20</f>
        <v>17669765.565000001</v>
      </c>
      <c r="U20" s="42"/>
      <c r="V20" s="70">
        <f t="shared" si="1"/>
        <v>17598115.565000001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2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4355977.3159999996</v>
      </c>
      <c r="K21" s="36">
        <f t="shared" si="13"/>
        <v>15914977.316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8"/>
        <v>1005549.9999999999</v>
      </c>
      <c r="Q21" s="38">
        <f t="shared" si="9"/>
        <v>172380</v>
      </c>
      <c r="R21" s="38">
        <f t="shared" si="10"/>
        <v>57460</v>
      </c>
      <c r="S21" s="40">
        <f t="shared" si="11"/>
        <v>1235390</v>
      </c>
      <c r="T21" s="41">
        <f t="shared" si="14"/>
        <v>15311647.316</v>
      </c>
      <c r="U21" s="42"/>
      <c r="V21" s="70">
        <f t="shared" si="1"/>
        <v>15184977.316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2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4355977.3159999996</v>
      </c>
      <c r="K22" s="36">
        <f t="shared" si="13"/>
        <v>15914977.316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8"/>
        <v>1005549.9999999999</v>
      </c>
      <c r="Q22" s="38">
        <f t="shared" si="9"/>
        <v>172380</v>
      </c>
      <c r="R22" s="38">
        <f t="shared" si="10"/>
        <v>57460</v>
      </c>
      <c r="S22" s="40">
        <f t="shared" si="11"/>
        <v>1235390</v>
      </c>
      <c r="T22" s="41">
        <f t="shared" si="14"/>
        <v>15311647.316</v>
      </c>
      <c r="U22" s="42"/>
      <c r="V22" s="70">
        <f t="shared" si="1"/>
        <v>15184977.316</v>
      </c>
      <c r="W22" s="71">
        <v>11000000</v>
      </c>
      <c r="X22" s="71"/>
      <c r="Y22" s="71">
        <f t="shared" si="15"/>
        <v>3581647.3159999996</v>
      </c>
      <c r="Z22" s="71">
        <f t="shared" si="16"/>
        <v>179082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2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4355977.3159999996</v>
      </c>
      <c r="K23" s="36">
        <f t="shared" si="13"/>
        <v>15914977.316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8"/>
        <v>1005549.9999999999</v>
      </c>
      <c r="Q23" s="38">
        <f t="shared" si="9"/>
        <v>172380</v>
      </c>
      <c r="R23" s="38">
        <f t="shared" si="10"/>
        <v>57460</v>
      </c>
      <c r="S23" s="40">
        <f t="shared" si="11"/>
        <v>1235390</v>
      </c>
      <c r="T23" s="41">
        <f t="shared" si="14"/>
        <v>15311647.316</v>
      </c>
      <c r="U23" s="42"/>
      <c r="V23" s="70">
        <f t="shared" si="1"/>
        <v>15184977.316</v>
      </c>
      <c r="W23" s="71">
        <v>11000000</v>
      </c>
      <c r="X23" s="71"/>
      <c r="Y23" s="71">
        <f t="shared" si="15"/>
        <v>3581647.3159999996</v>
      </c>
      <c r="Z23" s="71">
        <f t="shared" si="16"/>
        <v>179082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2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6533965.9740000004</v>
      </c>
      <c r="K24" s="36">
        <f t="shared" si="13"/>
        <v>17253165.973999999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8"/>
        <v>1098370</v>
      </c>
      <c r="Q24" s="38">
        <f t="shared" si="9"/>
        <v>188292</v>
      </c>
      <c r="R24" s="38">
        <f t="shared" si="10"/>
        <v>62764</v>
      </c>
      <c r="S24" s="40">
        <f t="shared" si="11"/>
        <v>1349426</v>
      </c>
      <c r="T24" s="41">
        <f t="shared" si="14"/>
        <v>16594143.973999999</v>
      </c>
      <c r="U24" s="42"/>
      <c r="V24" s="70">
        <f t="shared" si="1"/>
        <v>16523165.973999999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2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6092252.4520000005</v>
      </c>
      <c r="K25" s="36">
        <f t="shared" si="13"/>
        <v>17651252.452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8"/>
        <v>1005549.9999999999</v>
      </c>
      <c r="Q25" s="38">
        <f t="shared" si="9"/>
        <v>172380</v>
      </c>
      <c r="R25" s="38">
        <f t="shared" si="10"/>
        <v>57460</v>
      </c>
      <c r="S25" s="40">
        <f t="shared" si="11"/>
        <v>1235390</v>
      </c>
      <c r="T25" s="41">
        <f>K25-O25</f>
        <v>17047922.452</v>
      </c>
      <c r="U25" s="42"/>
      <c r="V25" s="70">
        <f t="shared" si="1"/>
        <v>16921252.452</v>
      </c>
      <c r="W25" s="71">
        <v>11000000</v>
      </c>
      <c r="X25" s="71"/>
      <c r="Y25" s="71">
        <f t="shared" si="15"/>
        <v>5317922.4519999996</v>
      </c>
      <c r="Z25" s="71">
        <f t="shared" si="16"/>
        <v>281792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2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4355977.3159999996</v>
      </c>
      <c r="K26" s="36">
        <f t="shared" si="13"/>
        <v>15914977.316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8"/>
        <v>1005549.9999999999</v>
      </c>
      <c r="Q26" s="38">
        <f t="shared" si="9"/>
        <v>172380</v>
      </c>
      <c r="R26" s="38">
        <f t="shared" si="10"/>
        <v>57460</v>
      </c>
      <c r="S26" s="40">
        <f t="shared" si="11"/>
        <v>1235390</v>
      </c>
      <c r="T26" s="41">
        <f>K26-O26</f>
        <v>15311647.316</v>
      </c>
      <c r="U26" s="42"/>
      <c r="V26" s="70">
        <f t="shared" si="1"/>
        <v>15184977.316</v>
      </c>
      <c r="W26" s="71">
        <v>11000000</v>
      </c>
      <c r="X26" s="71"/>
      <c r="Y26" s="71">
        <f t="shared" si="15"/>
        <v>3581647.3159999996</v>
      </c>
      <c r="Z26" s="71">
        <f t="shared" si="16"/>
        <v>179082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2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6092252.4520000005</v>
      </c>
      <c r="K27" s="36">
        <f t="shared" si="13"/>
        <v>17651252.452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8"/>
        <v>1005549.9999999999</v>
      </c>
      <c r="Q27" s="38">
        <f t="shared" si="9"/>
        <v>172380</v>
      </c>
      <c r="R27" s="38">
        <f t="shared" si="10"/>
        <v>57460</v>
      </c>
      <c r="S27" s="40">
        <f t="shared" si="11"/>
        <v>1235390</v>
      </c>
      <c r="T27" s="41">
        <f t="shared" ref="T27" si="17">K27-O27</f>
        <v>17047922.452</v>
      </c>
      <c r="U27" s="42"/>
      <c r="V27" s="70">
        <f t="shared" si="1"/>
        <v>16921252.452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2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6092252.4520000005</v>
      </c>
      <c r="K28" s="36">
        <f t="shared" si="13"/>
        <v>17651252.452</v>
      </c>
      <c r="L28" s="37">
        <f t="shared" si="4"/>
        <v>459680</v>
      </c>
      <c r="M28" s="38">
        <f t="shared" si="5"/>
        <v>86190</v>
      </c>
      <c r="N28" s="39">
        <f t="shared" si="6"/>
        <v>57460</v>
      </c>
      <c r="O28" s="40">
        <f t="shared" si="7"/>
        <v>603330</v>
      </c>
      <c r="P28" s="38">
        <f t="shared" si="8"/>
        <v>1005549.9999999999</v>
      </c>
      <c r="Q28" s="38">
        <f t="shared" si="9"/>
        <v>172380</v>
      </c>
      <c r="R28" s="38">
        <f t="shared" si="10"/>
        <v>57460</v>
      </c>
      <c r="S28" s="40">
        <f t="shared" si="11"/>
        <v>1235390</v>
      </c>
      <c r="T28" s="41">
        <f>K28-O28</f>
        <v>17047922.452</v>
      </c>
      <c r="U28" s="42"/>
      <c r="V28" s="70">
        <f t="shared" si="1"/>
        <v>16921252.452</v>
      </c>
      <c r="W28" s="71">
        <v>11000000</v>
      </c>
      <c r="X28" s="71">
        <f>4400000*2</f>
        <v>8800000</v>
      </c>
      <c r="Y28" s="71">
        <f t="shared" si="15"/>
        <v>0</v>
      </c>
      <c r="Z28" s="71">
        <f t="shared" si="16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2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7615315.5650000004</v>
      </c>
      <c r="K29" s="36">
        <f t="shared" si="13"/>
        <v>18334515.565000001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8"/>
        <v>1098370</v>
      </c>
      <c r="Q29" s="38">
        <f t="shared" si="9"/>
        <v>188292</v>
      </c>
      <c r="R29" s="38">
        <f t="shared" si="10"/>
        <v>62764</v>
      </c>
      <c r="S29" s="40">
        <f t="shared" si="11"/>
        <v>1349426</v>
      </c>
      <c r="T29" s="41">
        <f t="shared" ref="T29:T30" si="18">K29-O29</f>
        <v>17675493.565000001</v>
      </c>
      <c r="U29" s="42"/>
      <c r="V29" s="70">
        <f t="shared" si="1"/>
        <v>17604515.565000001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2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7615315.5650000004</v>
      </c>
      <c r="K30" s="36">
        <f t="shared" si="13"/>
        <v>18334515.565000001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8"/>
        <v>1098370</v>
      </c>
      <c r="Q30" s="38">
        <f t="shared" si="9"/>
        <v>188292</v>
      </c>
      <c r="R30" s="38">
        <f t="shared" si="10"/>
        <v>62764</v>
      </c>
      <c r="S30" s="40">
        <f t="shared" si="11"/>
        <v>1349426</v>
      </c>
      <c r="T30" s="41">
        <f t="shared" si="18"/>
        <v>17675493.565000001</v>
      </c>
      <c r="U30" s="42"/>
      <c r="V30" s="70">
        <f t="shared" si="1"/>
        <v>17604515.565000001</v>
      </c>
      <c r="W30" s="71">
        <v>11000000</v>
      </c>
      <c r="X30" s="71">
        <f>4400000</f>
        <v>4400000</v>
      </c>
      <c r="Y30" s="71">
        <f t="shared" si="15"/>
        <v>1545493.5650000013</v>
      </c>
      <c r="Z30" s="71">
        <f t="shared" si="16"/>
        <v>77275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2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6092252.4520000005</v>
      </c>
      <c r="K31" s="36">
        <f t="shared" si="13"/>
        <v>17651252.452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8"/>
        <v>1005549.9999999999</v>
      </c>
      <c r="Q31" s="38">
        <f t="shared" si="9"/>
        <v>172380</v>
      </c>
      <c r="R31" s="38">
        <f t="shared" si="10"/>
        <v>57460</v>
      </c>
      <c r="S31" s="40">
        <f t="shared" si="11"/>
        <v>1235390</v>
      </c>
      <c r="T31" s="41">
        <f>K31-O31</f>
        <v>17047922.452</v>
      </c>
      <c r="U31" s="42"/>
      <c r="V31" s="70">
        <f t="shared" si="1"/>
        <v>16921252.452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2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6092252.4520000005</v>
      </c>
      <c r="K32" s="36">
        <f t="shared" si="13"/>
        <v>17651252.452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8"/>
        <v>1005549.9999999999</v>
      </c>
      <c r="Q32" s="38">
        <f t="shared" si="9"/>
        <v>172380</v>
      </c>
      <c r="R32" s="38">
        <f t="shared" si="10"/>
        <v>57460</v>
      </c>
      <c r="S32" s="40">
        <f t="shared" si="11"/>
        <v>1235390</v>
      </c>
      <c r="T32" s="41">
        <f>K32-O32</f>
        <v>17047922.452</v>
      </c>
      <c r="U32" s="42"/>
      <c r="V32" s="70">
        <f t="shared" si="1"/>
        <v>16921252.452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2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4355977.3159999996</v>
      </c>
      <c r="K33" s="36">
        <f t="shared" si="13"/>
        <v>15914977.316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8"/>
        <v>1005549.9999999999</v>
      </c>
      <c r="Q33" s="38">
        <f t="shared" si="9"/>
        <v>172380</v>
      </c>
      <c r="R33" s="38">
        <f t="shared" si="10"/>
        <v>57460</v>
      </c>
      <c r="S33" s="40">
        <f t="shared" si="11"/>
        <v>1235390</v>
      </c>
      <c r="T33" s="41">
        <f>K33-O33</f>
        <v>15311647.316</v>
      </c>
      <c r="U33" s="42"/>
      <c r="V33" s="70">
        <f t="shared" si="1"/>
        <v>15184977.316</v>
      </c>
      <c r="W33" s="71">
        <v>11000000</v>
      </c>
      <c r="X33" s="71"/>
      <c r="Y33" s="71">
        <f t="shared" si="15"/>
        <v>3581647.3159999996</v>
      </c>
      <c r="Z33" s="71">
        <f t="shared" si="16"/>
        <v>179082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2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10661441.791000001</v>
      </c>
      <c r="K34" s="36">
        <f t="shared" si="13"/>
        <v>23172041.791000001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8"/>
        <v>1388660</v>
      </c>
      <c r="Q34" s="38">
        <f t="shared" si="9"/>
        <v>238056</v>
      </c>
      <c r="R34" s="38">
        <f t="shared" si="10"/>
        <v>79352</v>
      </c>
      <c r="S34" s="40">
        <f t="shared" si="11"/>
        <v>1706068</v>
      </c>
      <c r="T34" s="41">
        <f>K34-O34</f>
        <v>22338845.791000001</v>
      </c>
      <c r="U34" s="42"/>
      <c r="V34" s="70">
        <f t="shared" si="1"/>
        <v>22442041.791000001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12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4355977.3159999996</v>
      </c>
      <c r="K35" s="36">
        <f t="shared" si="13"/>
        <v>15387177.316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 t="shared" si="8"/>
        <v>1152970</v>
      </c>
      <c r="Q35" s="38">
        <f t="shared" si="9"/>
        <v>197652</v>
      </c>
      <c r="R35" s="38">
        <f t="shared" si="10"/>
        <v>65884</v>
      </c>
      <c r="S35" s="40">
        <f t="shared" si="11"/>
        <v>1416506</v>
      </c>
      <c r="T35" s="41">
        <f t="shared" ref="T35:T37" si="19">K35-O35</f>
        <v>14695395.316</v>
      </c>
      <c r="U35" s="42"/>
      <c r="V35" s="70">
        <f t="shared" si="1"/>
        <v>14657177.316</v>
      </c>
      <c r="W35" s="71">
        <v>11000000</v>
      </c>
      <c r="X35" s="71"/>
      <c r="Y35" s="71">
        <f t="shared" si="15"/>
        <v>2965395.3159999996</v>
      </c>
      <c r="Z35" s="71">
        <f t="shared" si="16"/>
        <v>148270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12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6533965.9740000004</v>
      </c>
      <c r="K36" s="36">
        <f t="shared" si="13"/>
        <v>17565165.973999999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 t="shared" si="8"/>
        <v>1152970</v>
      </c>
      <c r="Q36" s="38">
        <f t="shared" si="9"/>
        <v>197652</v>
      </c>
      <c r="R36" s="38">
        <f t="shared" si="10"/>
        <v>65884</v>
      </c>
      <c r="S36" s="40">
        <f t="shared" si="11"/>
        <v>1416506</v>
      </c>
      <c r="T36" s="41">
        <f t="shared" si="19"/>
        <v>16873383.973999999</v>
      </c>
      <c r="U36" s="42"/>
      <c r="V36" s="70">
        <f t="shared" si="1"/>
        <v>16835165.973999999</v>
      </c>
      <c r="W36" s="71">
        <v>11000000</v>
      </c>
      <c r="X36" s="71">
        <f>4400000</f>
        <v>4400000</v>
      </c>
      <c r="Y36" s="71">
        <f t="shared" si="15"/>
        <v>743383.97399999946</v>
      </c>
      <c r="Z36" s="71">
        <f t="shared" si="16"/>
        <v>37169</v>
      </c>
    </row>
    <row r="37" spans="1:26" s="53" customFormat="1" ht="21.75" customHeight="1" x14ac:dyDescent="0.25">
      <c r="A37" s="29">
        <v>24</v>
      </c>
      <c r="B37" s="30" t="s">
        <v>128</v>
      </c>
      <c r="C37" s="31" t="s">
        <v>129</v>
      </c>
      <c r="D37" s="32">
        <f t="shared" si="12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2177988.6579999998</v>
      </c>
      <c r="K37" s="36">
        <f t="shared" si="13"/>
        <v>11875388.658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 t="shared" si="8"/>
        <v>942759.99999999988</v>
      </c>
      <c r="Q37" s="38">
        <f t="shared" si="9"/>
        <v>161616</v>
      </c>
      <c r="R37" s="38">
        <f t="shared" si="10"/>
        <v>53872</v>
      </c>
      <c r="S37" s="40">
        <f t="shared" si="11"/>
        <v>1158248</v>
      </c>
      <c r="T37" s="41">
        <f t="shared" si="19"/>
        <v>11309732.658</v>
      </c>
      <c r="U37" s="42"/>
      <c r="V37" s="70">
        <f t="shared" ref="V37:V38" si="20">K37-I37</f>
        <v>11145388.658</v>
      </c>
      <c r="W37" s="71">
        <v>11000000</v>
      </c>
      <c r="X37" s="71"/>
      <c r="Y37" s="71">
        <f t="shared" ref="Y37:Y38" si="21">MAX(V37-O37-W37-X37,0)</f>
        <v>0</v>
      </c>
      <c r="Z37" s="71">
        <f>ROUND(IF(Y37&gt;80000000,((Y37-80000000)*0.35+18150000),IF(AND(Y37&gt;52000000,Y37&lt;=80000000),((Y37-52000000)*0.3+9750000),IF(AND(Y37&gt;32000000,Y37&lt;=52000000),((Y37-32000000)*0.25+4750000),IF(AND(Y37&gt;18000000,Y37&lt;=32000000),((Y37-18000000)*0.2+1950000),IF(AND(Y37&gt;10000000,Y37&lt;=18000000),((Y37-10000000)*0.15+750000),IF(AND(Y37&gt;5000000,Y37&lt;=10000000),((Y37-5000000)*0.1+250000),(Y37*0.05))))))),0)</f>
        <v>0</v>
      </c>
    </row>
    <row r="38" spans="1:26" s="53" customFormat="1" ht="21.75" customHeight="1" x14ac:dyDescent="0.25">
      <c r="A38" s="29">
        <v>25</v>
      </c>
      <c r="B38" s="30" t="s">
        <v>135</v>
      </c>
      <c r="C38" s="31" t="s">
        <v>136</v>
      </c>
      <c r="D38" s="32"/>
      <c r="E38" s="33">
        <v>26</v>
      </c>
      <c r="F38" s="34">
        <v>15000000</v>
      </c>
      <c r="G38" s="34"/>
      <c r="H38" s="35"/>
      <c r="I38" s="35"/>
      <c r="J38" s="35"/>
      <c r="K38" s="36">
        <f t="shared" ref="K38" si="22">F38+G38+H38+I38+J38</f>
        <v>15000000</v>
      </c>
      <c r="L38" s="37"/>
      <c r="M38" s="38"/>
      <c r="N38" s="39"/>
      <c r="O38" s="40"/>
      <c r="P38" s="38"/>
      <c r="Q38" s="38"/>
      <c r="R38" s="38"/>
      <c r="S38" s="40"/>
      <c r="T38" s="41">
        <f t="shared" ref="T38" si="23">K38-O38</f>
        <v>15000000</v>
      </c>
      <c r="U38" s="42"/>
      <c r="V38" s="70">
        <f t="shared" si="20"/>
        <v>15000000</v>
      </c>
      <c r="W38" s="71"/>
      <c r="X38" s="71"/>
      <c r="Y38" s="71">
        <f t="shared" si="21"/>
        <v>15000000</v>
      </c>
      <c r="Z38" s="71">
        <f>Y38*0.1</f>
        <v>1500000</v>
      </c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SUM(D44:D50)</f>
        <v>36238400</v>
      </c>
      <c r="E43" s="51">
        <f t="shared" ref="E43:F43" si="24">SUM(E44:E50)</f>
        <v>156</v>
      </c>
      <c r="F43" s="51">
        <f t="shared" si="24"/>
        <v>29338200</v>
      </c>
      <c r="G43" s="51">
        <f t="shared" ref="G43:S43" si="25">SUM(G44:G50)</f>
        <v>6900200</v>
      </c>
      <c r="H43" s="51">
        <f t="shared" si="25"/>
        <v>22674600</v>
      </c>
      <c r="I43" s="51">
        <f t="shared" si="25"/>
        <v>4380000</v>
      </c>
      <c r="J43" s="51">
        <f t="shared" si="25"/>
        <v>0</v>
      </c>
      <c r="K43" s="51">
        <f t="shared" si="25"/>
        <v>63293000</v>
      </c>
      <c r="L43" s="51">
        <f t="shared" si="25"/>
        <v>2899072</v>
      </c>
      <c r="M43" s="51">
        <f t="shared" si="25"/>
        <v>543576</v>
      </c>
      <c r="N43" s="51">
        <f t="shared" si="25"/>
        <v>362384</v>
      </c>
      <c r="O43" s="51">
        <f t="shared" si="25"/>
        <v>3805032</v>
      </c>
      <c r="P43" s="51">
        <f t="shared" si="25"/>
        <v>6341720</v>
      </c>
      <c r="Q43" s="51">
        <f t="shared" si="25"/>
        <v>1087152</v>
      </c>
      <c r="R43" s="51">
        <f t="shared" si="25"/>
        <v>362384</v>
      </c>
      <c r="S43" s="51">
        <f t="shared" si="25"/>
        <v>7791256</v>
      </c>
      <c r="T43" s="51">
        <f>SUM(T44:T50)</f>
        <v>59487968</v>
      </c>
      <c r="U43" s="51">
        <f t="shared" ref="U43:Z43" si="26">SUM(U44:U50)</f>
        <v>0</v>
      </c>
      <c r="V43" s="51">
        <f t="shared" si="26"/>
        <v>58913000</v>
      </c>
      <c r="W43" s="51">
        <f t="shared" si="26"/>
        <v>66000000</v>
      </c>
      <c r="X43" s="51">
        <f>SUM(X44:X50)</f>
        <v>4400000</v>
      </c>
      <c r="Y43" s="51">
        <f t="shared" si="26"/>
        <v>0</v>
      </c>
      <c r="Z43" s="51">
        <f t="shared" si="26"/>
        <v>0</v>
      </c>
    </row>
    <row r="44" spans="1:26" s="26" customFormat="1" ht="21.75" customHeight="1" x14ac:dyDescent="0.25">
      <c r="A44" s="29">
        <v>26</v>
      </c>
      <c r="B44" s="30" t="s">
        <v>42</v>
      </c>
      <c r="C44" s="31" t="s">
        <v>41</v>
      </c>
      <c r="D44" s="43">
        <f t="shared" ref="D44:D50" si="27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>D44*8%</f>
        <v>443632</v>
      </c>
      <c r="M44" s="38">
        <f>D44*1.5%</f>
        <v>83181</v>
      </c>
      <c r="N44" s="39">
        <f>D44*1%</f>
        <v>55454</v>
      </c>
      <c r="O44" s="40">
        <f t="shared" ref="O44:O50" si="28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0" si="29">P44+Q44+R44</f>
        <v>1192261</v>
      </c>
      <c r="T44" s="41">
        <f t="shared" ref="T44:T46" si="30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27</v>
      </c>
      <c r="B45" s="30" t="s">
        <v>79</v>
      </c>
      <c r="C45" s="31" t="s">
        <v>40</v>
      </c>
      <c r="D45" s="43">
        <f t="shared" si="27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50" si="31">F45+G45+H45+I45+J45</f>
        <v>10542400</v>
      </c>
      <c r="L45" s="37">
        <f>D45*8%</f>
        <v>484432</v>
      </c>
      <c r="M45" s="38">
        <f>D45*1.5%</f>
        <v>90831</v>
      </c>
      <c r="N45" s="39">
        <f>D45*1%</f>
        <v>60554</v>
      </c>
      <c r="O45" s="40">
        <f t="shared" si="28"/>
        <v>635817</v>
      </c>
      <c r="P45" s="38">
        <f>D45*17.5%</f>
        <v>1059695</v>
      </c>
      <c r="Q45" s="38">
        <f>D45*3%</f>
        <v>181662</v>
      </c>
      <c r="R45" s="38">
        <f>D45*1%</f>
        <v>60554</v>
      </c>
      <c r="S45" s="40">
        <f t="shared" si="29"/>
        <v>1301911</v>
      </c>
      <c r="T45" s="41">
        <f t="shared" si="30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28</v>
      </c>
      <c r="B46" s="30" t="s">
        <v>81</v>
      </c>
      <c r="C46" s="31" t="s">
        <v>41</v>
      </c>
      <c r="D46" s="43">
        <f t="shared" si="27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1"/>
        <v>10233000</v>
      </c>
      <c r="L46" s="37">
        <f>D46*8%</f>
        <v>459680</v>
      </c>
      <c r="M46" s="38">
        <f>D46*1.5%</f>
        <v>86190</v>
      </c>
      <c r="N46" s="39">
        <f>D46*1%</f>
        <v>57460</v>
      </c>
      <c r="O46" s="40">
        <f t="shared" si="28"/>
        <v>603330</v>
      </c>
      <c r="P46" s="38">
        <f>D46*17.5%</f>
        <v>1005549.9999999999</v>
      </c>
      <c r="Q46" s="38">
        <f>D46*3%</f>
        <v>172380</v>
      </c>
      <c r="R46" s="38">
        <f>D46*1%</f>
        <v>57460</v>
      </c>
      <c r="S46" s="40">
        <f t="shared" si="29"/>
        <v>1235390</v>
      </c>
      <c r="T46" s="41">
        <f t="shared" si="30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62">
        <v>29</v>
      </c>
      <c r="B48" s="30" t="s">
        <v>105</v>
      </c>
      <c r="C48" s="31" t="s">
        <v>40</v>
      </c>
      <c r="D48" s="43">
        <f t="shared" si="27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1"/>
        <v>10828400</v>
      </c>
      <c r="L48" s="37">
        <f>D48*8%</f>
        <v>503776</v>
      </c>
      <c r="M48" s="38">
        <f>D48*1.5%</f>
        <v>94458</v>
      </c>
      <c r="N48" s="39">
        <f>D48*1%</f>
        <v>62972</v>
      </c>
      <c r="O48" s="40">
        <f t="shared" si="28"/>
        <v>661206</v>
      </c>
      <c r="P48" s="38">
        <f>D48*17.5%</f>
        <v>1102010</v>
      </c>
      <c r="Q48" s="38">
        <f>D48*3%</f>
        <v>188916</v>
      </c>
      <c r="R48" s="38">
        <f>D48*1%</f>
        <v>62972</v>
      </c>
      <c r="S48" s="40">
        <f t="shared" si="29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>
        <v>30</v>
      </c>
      <c r="B49" s="30" t="s">
        <v>106</v>
      </c>
      <c r="C49" s="31" t="s">
        <v>40</v>
      </c>
      <c r="D49" s="43">
        <f t="shared" si="27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31"/>
        <v>10828400</v>
      </c>
      <c r="L49" s="37">
        <f>D49*8%</f>
        <v>503776</v>
      </c>
      <c r="M49" s="38">
        <f>D49*1.5%</f>
        <v>94458</v>
      </c>
      <c r="N49" s="39">
        <f>D49*1%</f>
        <v>62972</v>
      </c>
      <c r="O49" s="40">
        <f t="shared" si="28"/>
        <v>661206</v>
      </c>
      <c r="P49" s="38">
        <f>D49*17.5%</f>
        <v>1102010</v>
      </c>
      <c r="Q49" s="38">
        <f>D49*3%</f>
        <v>188916</v>
      </c>
      <c r="R49" s="38">
        <f>D49*1%</f>
        <v>62972</v>
      </c>
      <c r="S49" s="40">
        <f t="shared" si="29"/>
        <v>1353898</v>
      </c>
      <c r="T49" s="41">
        <f>K49-O49</f>
        <v>10167194</v>
      </c>
      <c r="U49" s="42"/>
      <c r="V49" s="70">
        <f t="shared" si="1"/>
        <v>10098400</v>
      </c>
      <c r="W49" s="71">
        <v>11000000</v>
      </c>
      <c r="X49" s="71"/>
      <c r="Y49" s="71">
        <f t="shared" si="15"/>
        <v>0</v>
      </c>
      <c r="Z49" s="71">
        <f t="shared" si="16"/>
        <v>0</v>
      </c>
    </row>
    <row r="50" spans="1:26" s="14" customFormat="1" ht="17.25" customHeight="1" x14ac:dyDescent="0.25">
      <c r="A50" s="29">
        <v>31</v>
      </c>
      <c r="B50" s="64" t="s">
        <v>124</v>
      </c>
      <c r="C50" s="31" t="s">
        <v>40</v>
      </c>
      <c r="D50" s="43">
        <f t="shared" si="27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31"/>
        <v>10828400</v>
      </c>
      <c r="L50" s="37">
        <f>D50*8%</f>
        <v>503776</v>
      </c>
      <c r="M50" s="38">
        <f>D50*1.5%</f>
        <v>94458</v>
      </c>
      <c r="N50" s="39">
        <f>D50*1%</f>
        <v>62972</v>
      </c>
      <c r="O50" s="40">
        <f t="shared" si="28"/>
        <v>661206</v>
      </c>
      <c r="P50" s="38">
        <f>D50*17.5%</f>
        <v>1102010</v>
      </c>
      <c r="Q50" s="38">
        <f>D50*3%</f>
        <v>188916</v>
      </c>
      <c r="R50" s="38">
        <f>D50*1%</f>
        <v>62972</v>
      </c>
      <c r="S50" s="40">
        <f t="shared" si="29"/>
        <v>1353898</v>
      </c>
      <c r="T50" s="41">
        <f>K50-O50</f>
        <v>10167194</v>
      </c>
      <c r="U50" s="42"/>
      <c r="V50" s="70">
        <f t="shared" si="1"/>
        <v>10098400</v>
      </c>
      <c r="W50" s="71">
        <v>11000000</v>
      </c>
      <c r="X50" s="71"/>
      <c r="Y50" s="71"/>
      <c r="Z50" s="71"/>
    </row>
    <row r="51" spans="1:26" s="14" customFormat="1" ht="17.25" customHeight="1" x14ac:dyDescent="0.25">
      <c r="A51" s="62"/>
      <c r="B51" s="64"/>
      <c r="C51" s="31"/>
      <c r="D51" s="43"/>
      <c r="E51" s="33"/>
      <c r="F51" s="34"/>
      <c r="G51" s="34"/>
      <c r="H51" s="35"/>
      <c r="I51" s="35"/>
      <c r="J51" s="35"/>
      <c r="K51" s="36"/>
      <c r="L51" s="37"/>
      <c r="M51" s="38"/>
      <c r="N51" s="39"/>
      <c r="O51" s="40"/>
      <c r="P51" s="38"/>
      <c r="Q51" s="38"/>
      <c r="R51" s="38"/>
      <c r="S51" s="40"/>
      <c r="T51" s="41"/>
      <c r="U51" s="42"/>
      <c r="V51" s="70"/>
      <c r="W51" s="71"/>
      <c r="X51" s="71"/>
      <c r="Y51" s="71"/>
      <c r="Z51" s="71"/>
    </row>
    <row r="52" spans="1:26" s="14" customFormat="1" ht="19.5" customHeight="1" x14ac:dyDescent="0.25">
      <c r="A52" s="95" t="s">
        <v>43</v>
      </c>
      <c r="B52" s="96"/>
      <c r="C52" s="46"/>
      <c r="D52" s="47">
        <f>D11+D13+D15+D43</f>
        <v>193836200</v>
      </c>
      <c r="E52" s="47">
        <f t="shared" ref="E52:U52" si="32">E11+E13+E15+E43</f>
        <v>806</v>
      </c>
      <c r="F52" s="47">
        <f t="shared" si="32"/>
        <v>174163600</v>
      </c>
      <c r="G52" s="47">
        <f t="shared" si="32"/>
        <v>34672600</v>
      </c>
      <c r="H52" s="47">
        <f t="shared" si="32"/>
        <v>123362200</v>
      </c>
      <c r="I52" s="47">
        <f t="shared" si="32"/>
        <v>21170000</v>
      </c>
      <c r="J52" s="47">
        <f t="shared" si="32"/>
        <v>130397304.81500003</v>
      </c>
      <c r="K52" s="47">
        <f t="shared" si="32"/>
        <v>470600504.81499994</v>
      </c>
      <c r="L52" s="47">
        <f t="shared" si="32"/>
        <v>15506896</v>
      </c>
      <c r="M52" s="47">
        <f t="shared" si="32"/>
        <v>2907543</v>
      </c>
      <c r="N52" s="47">
        <f t="shared" si="32"/>
        <v>1938362</v>
      </c>
      <c r="O52" s="47">
        <f t="shared" si="32"/>
        <v>20352801</v>
      </c>
      <c r="P52" s="47">
        <f t="shared" si="32"/>
        <v>33921335</v>
      </c>
      <c r="Q52" s="47">
        <f t="shared" si="32"/>
        <v>5815086</v>
      </c>
      <c r="R52" s="47">
        <f t="shared" si="32"/>
        <v>1938362</v>
      </c>
      <c r="S52" s="47">
        <f t="shared" si="32"/>
        <v>41674783</v>
      </c>
      <c r="T52" s="47">
        <f t="shared" si="32"/>
        <v>451630049.81499988</v>
      </c>
      <c r="U52" s="47">
        <f t="shared" si="32"/>
        <v>0</v>
      </c>
      <c r="V52" s="47">
        <f>V11+V13+V15+V43</f>
        <v>449430504.81499988</v>
      </c>
      <c r="W52" s="47">
        <f t="shared" ref="W52" si="33">W11+W13+W15+W43</f>
        <v>319000000</v>
      </c>
      <c r="X52" s="47">
        <f>X11+X13+X15+X43</f>
        <v>114400000</v>
      </c>
      <c r="Y52" s="47">
        <f>Y11+Y13+Y15+Y43</f>
        <v>52984755.189999998</v>
      </c>
      <c r="Z52" s="47">
        <f>Z11+Z13+Z15+Z43</f>
        <v>3462504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133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8">
        <f>L52+P52+'T6'!L52+'T6'!P52</f>
        <v>100462248</v>
      </c>
      <c r="R56" s="18">
        <f>M52+Q52+'T6'!M52+'T6'!Q52</f>
        <v>17728632</v>
      </c>
      <c r="S56" s="18">
        <f>N52+R52+'T6'!N52+'T6'!R52</f>
        <v>7879392</v>
      </c>
      <c r="T56" s="18">
        <f>O52+S52+'T6'!O52+'T6'!S52</f>
        <v>126070272</v>
      </c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21">
        <v>4859057</v>
      </c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21">
        <f>Q56-Q57</f>
        <v>95603191</v>
      </c>
      <c r="R58" s="21">
        <f>R56-R57</f>
        <v>17728632</v>
      </c>
      <c r="S58" s="21">
        <f>S56-S57</f>
        <v>7879392</v>
      </c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Q59" s="23"/>
      <c r="R59" s="23"/>
      <c r="S59" s="23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11:C11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  <mergeCell ref="T8:T9"/>
    <mergeCell ref="U8:U9"/>
    <mergeCell ref="J8:J9"/>
    <mergeCell ref="N54:T54"/>
    <mergeCell ref="N55:T55"/>
    <mergeCell ref="A13:C13"/>
    <mergeCell ref="A15:C15"/>
    <mergeCell ref="A43:C43"/>
    <mergeCell ref="A52:B52"/>
    <mergeCell ref="N53:T53"/>
    <mergeCell ref="V8:V9"/>
    <mergeCell ref="W8:W9"/>
    <mergeCell ref="X8:X9"/>
    <mergeCell ref="Y8:Y9"/>
    <mergeCell ref="Z8:Z9"/>
  </mergeCells>
  <hyperlinks>
    <hyperlink ref="B12" r:id="rId1" display="javascript:submitform('8460891335')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C28" workbookViewId="0">
      <selection activeCell="Z39" sqref="Z3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2.1406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131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68" t="s">
        <v>15</v>
      </c>
      <c r="H9" s="68" t="s">
        <v>16</v>
      </c>
      <c r="I9" s="68" t="s">
        <v>17</v>
      </c>
      <c r="J9" s="82"/>
      <c r="K9" s="88"/>
      <c r="L9" s="69" t="s">
        <v>18</v>
      </c>
      <c r="M9" s="69" t="s">
        <v>19</v>
      </c>
      <c r="N9" s="69" t="s">
        <v>20</v>
      </c>
      <c r="O9" s="68" t="s">
        <v>21</v>
      </c>
      <c r="P9" s="69" t="s">
        <v>87</v>
      </c>
      <c r="Q9" s="69" t="s">
        <v>22</v>
      </c>
      <c r="R9" s="69" t="s">
        <v>20</v>
      </c>
      <c r="S9" s="68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>SUM(Y12:Y12)</f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0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X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>SUM(Y14:Y14)</f>
        <v>3736450</v>
      </c>
      <c r="Z13" s="51">
        <f>SUM(Z14:Z14)</f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F14+G14+H14+I14+J14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SUM(D16:D38)</f>
        <v>132362600</v>
      </c>
      <c r="E15" s="51">
        <f t="shared" ref="E15:Z15" si="3">SUM(E16:E38)</f>
        <v>598</v>
      </c>
      <c r="F15" s="51">
        <f t="shared" si="3"/>
        <v>124233400</v>
      </c>
      <c r="G15" s="51">
        <f t="shared" si="3"/>
        <v>23129200</v>
      </c>
      <c r="H15" s="51">
        <f t="shared" si="3"/>
        <v>96753800</v>
      </c>
      <c r="I15" s="51">
        <f t="shared" si="3"/>
        <v>16060000</v>
      </c>
      <c r="J15" s="51">
        <f t="shared" si="3"/>
        <v>127380304.74000001</v>
      </c>
      <c r="K15" s="51">
        <f t="shared" si="3"/>
        <v>387556704.73999995</v>
      </c>
      <c r="L15" s="51">
        <f>SUM(L16:L38)</f>
        <v>10589008</v>
      </c>
      <c r="M15" s="51">
        <f t="shared" si="3"/>
        <v>1985439</v>
      </c>
      <c r="N15" s="51">
        <f t="shared" si="3"/>
        <v>1323626</v>
      </c>
      <c r="O15" s="51">
        <f t="shared" si="3"/>
        <v>13898073</v>
      </c>
      <c r="P15" s="51">
        <f t="shared" si="3"/>
        <v>23163455</v>
      </c>
      <c r="Q15" s="51">
        <f t="shared" si="3"/>
        <v>3970878</v>
      </c>
      <c r="R15" s="51">
        <f t="shared" si="3"/>
        <v>1323626</v>
      </c>
      <c r="S15" s="51">
        <f t="shared" si="3"/>
        <v>28457959</v>
      </c>
      <c r="T15" s="51">
        <f t="shared" si="3"/>
        <v>373658631.73999995</v>
      </c>
      <c r="U15" s="51">
        <f t="shared" si="3"/>
        <v>0</v>
      </c>
      <c r="V15" s="51">
        <f t="shared" si="3"/>
        <v>371496704.73999995</v>
      </c>
      <c r="W15" s="51">
        <f t="shared" si="3"/>
        <v>242000000</v>
      </c>
      <c r="X15" s="51">
        <f t="shared" si="3"/>
        <v>110000000</v>
      </c>
      <c r="Y15" s="51">
        <f t="shared" si="3"/>
        <v>45726579.377500005</v>
      </c>
      <c r="Z15" s="51">
        <f t="shared" si="3"/>
        <v>3078078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6781849.4730000002</v>
      </c>
      <c r="K16" s="36">
        <f>F16+G16+H16+I16+J16</f>
        <v>17494649.473000001</v>
      </c>
      <c r="L16" s="37">
        <f>D16*8%</f>
        <v>501600</v>
      </c>
      <c r="M16" s="38">
        <f t="shared" ref="M16:M37" si="4">D16*1.5%</f>
        <v>94050</v>
      </c>
      <c r="N16" s="39">
        <f t="shared" ref="N16:N37" si="5">D16*1%</f>
        <v>62700</v>
      </c>
      <c r="O16" s="40">
        <f t="shared" ref="O16:O34" si="6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7">P16+Q16+R16</f>
        <v>1348050</v>
      </c>
      <c r="T16" s="41">
        <f>K16-O16</f>
        <v>16836299.473000001</v>
      </c>
      <c r="U16" s="42"/>
      <c r="V16" s="70">
        <f>K16-I16</f>
        <v>16764649.473000001</v>
      </c>
      <c r="W16" s="71">
        <v>11000000</v>
      </c>
      <c r="X16" s="71"/>
      <c r="Y16" s="71">
        <f>MAX(V16-O16-W16-X16,0)</f>
        <v>5106299.4730000012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260630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8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5813013.8339999998</v>
      </c>
      <c r="K17" s="36">
        <f t="shared" ref="K17:K38" si="9">F17+G17+H17+I17+J17</f>
        <v>16000213.833999999</v>
      </c>
      <c r="L17" s="37">
        <f t="shared" ref="L17:L37" si="10">D17*8%</f>
        <v>459552</v>
      </c>
      <c r="M17" s="38">
        <f t="shared" si="4"/>
        <v>86166</v>
      </c>
      <c r="N17" s="39">
        <f t="shared" si="5"/>
        <v>57444</v>
      </c>
      <c r="O17" s="40">
        <f t="shared" si="6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7"/>
        <v>1235046</v>
      </c>
      <c r="T17" s="41">
        <f t="shared" ref="T17:T24" si="14">K17-O17</f>
        <v>15397051.833999999</v>
      </c>
      <c r="U17" s="42"/>
      <c r="V17" s="70">
        <f t="shared" si="1"/>
        <v>15270213.833999999</v>
      </c>
      <c r="W17" s="71">
        <v>11000000</v>
      </c>
      <c r="X17" s="71">
        <f>4400000</f>
        <v>4400000</v>
      </c>
      <c r="Y17" s="71">
        <f t="shared" ref="Y17:Y49" si="15">MAX(V17-O17-W17-X17,0)</f>
        <v>0</v>
      </c>
      <c r="Z17" s="71">
        <f t="shared" ref="Z17:Z49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8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5813013.8339999998</v>
      </c>
      <c r="K18" s="36">
        <f t="shared" si="9"/>
        <v>16000213.833999999</v>
      </c>
      <c r="L18" s="37">
        <f t="shared" si="10"/>
        <v>459552</v>
      </c>
      <c r="M18" s="38">
        <f t="shared" si="4"/>
        <v>86166</v>
      </c>
      <c r="N18" s="39">
        <f t="shared" si="5"/>
        <v>57444</v>
      </c>
      <c r="O18" s="40">
        <f t="shared" si="6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7"/>
        <v>1235046</v>
      </c>
      <c r="T18" s="41">
        <f t="shared" si="14"/>
        <v>15397051.833999999</v>
      </c>
      <c r="U18" s="42"/>
      <c r="V18" s="70">
        <f t="shared" si="1"/>
        <v>15270213.833999999</v>
      </c>
      <c r="W18" s="71">
        <v>11000000</v>
      </c>
      <c r="X18" s="71">
        <f>4400000</f>
        <v>4400000</v>
      </c>
      <c r="Y18" s="71">
        <f t="shared" si="15"/>
        <v>0</v>
      </c>
      <c r="Z18" s="71">
        <f t="shared" si="16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3875342.5559999999</v>
      </c>
      <c r="K19" s="36">
        <f t="shared" si="9"/>
        <v>15233742.556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14651475.556</v>
      </c>
      <c r="U19" s="42"/>
      <c r="V19" s="70">
        <f t="shared" si="1"/>
        <v>14503742.556</v>
      </c>
      <c r="W19" s="71">
        <v>11000000</v>
      </c>
      <c r="X19" s="71"/>
      <c r="Y19" s="71">
        <f t="shared" si="15"/>
        <v>2921475.5559999999</v>
      </c>
      <c r="Z19" s="71">
        <f t="shared" si="16"/>
        <v>146074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8128729.8525</v>
      </c>
      <c r="K20" s="36">
        <f t="shared" si="9"/>
        <v>18841529.852499999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18183179.852499999</v>
      </c>
      <c r="U20" s="42"/>
      <c r="V20" s="70">
        <f t="shared" si="1"/>
        <v>18111529.852499999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8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3875342.5559999999</v>
      </c>
      <c r="K21" s="36">
        <f t="shared" si="9"/>
        <v>15434342.556</v>
      </c>
      <c r="L21" s="37">
        <f t="shared" si="10"/>
        <v>459680</v>
      </c>
      <c r="M21" s="38">
        <f t="shared" si="4"/>
        <v>86190</v>
      </c>
      <c r="N21" s="39">
        <f t="shared" si="5"/>
        <v>57460</v>
      </c>
      <c r="O21" s="40">
        <f t="shared" si="6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7"/>
        <v>1235390</v>
      </c>
      <c r="T21" s="41">
        <f t="shared" si="14"/>
        <v>14831012.556</v>
      </c>
      <c r="U21" s="42"/>
      <c r="V21" s="70">
        <f t="shared" si="1"/>
        <v>14704342.556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8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3875342.5559999999</v>
      </c>
      <c r="K22" s="36">
        <f t="shared" si="9"/>
        <v>15434342.556</v>
      </c>
      <c r="L22" s="37">
        <f t="shared" si="10"/>
        <v>459680</v>
      </c>
      <c r="M22" s="38">
        <f t="shared" si="4"/>
        <v>86190</v>
      </c>
      <c r="N22" s="39">
        <f t="shared" si="5"/>
        <v>57460</v>
      </c>
      <c r="O22" s="40">
        <f t="shared" si="6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7"/>
        <v>1235390</v>
      </c>
      <c r="T22" s="41">
        <f t="shared" si="14"/>
        <v>14831012.556</v>
      </c>
      <c r="U22" s="42"/>
      <c r="V22" s="70">
        <f t="shared" si="1"/>
        <v>14704342.556</v>
      </c>
      <c r="W22" s="71">
        <v>11000000</v>
      </c>
      <c r="X22" s="71"/>
      <c r="Y22" s="71">
        <f t="shared" si="15"/>
        <v>3101012.5559999999</v>
      </c>
      <c r="Z22" s="71">
        <f t="shared" si="16"/>
        <v>155051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8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3875342.5559999999</v>
      </c>
      <c r="K23" s="36">
        <f t="shared" si="9"/>
        <v>15434342.556</v>
      </c>
      <c r="L23" s="37">
        <f t="shared" si="10"/>
        <v>459680</v>
      </c>
      <c r="M23" s="38">
        <f t="shared" si="4"/>
        <v>86190</v>
      </c>
      <c r="N23" s="39">
        <f t="shared" si="5"/>
        <v>57460</v>
      </c>
      <c r="O23" s="40">
        <f t="shared" si="6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7"/>
        <v>1235390</v>
      </c>
      <c r="T23" s="41">
        <f t="shared" si="14"/>
        <v>14831012.556</v>
      </c>
      <c r="U23" s="42"/>
      <c r="V23" s="70">
        <f t="shared" si="1"/>
        <v>14704342.556</v>
      </c>
      <c r="W23" s="71">
        <v>11000000</v>
      </c>
      <c r="X23" s="71"/>
      <c r="Y23" s="71">
        <f t="shared" si="15"/>
        <v>3101012.5559999999</v>
      </c>
      <c r="Z23" s="71">
        <f t="shared" si="16"/>
        <v>155051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8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5813013.8339999998</v>
      </c>
      <c r="K24" s="36">
        <f t="shared" si="9"/>
        <v>16532213.833999999</v>
      </c>
      <c r="L24" s="37">
        <f t="shared" si="10"/>
        <v>502112</v>
      </c>
      <c r="M24" s="38">
        <f t="shared" si="4"/>
        <v>94146</v>
      </c>
      <c r="N24" s="39">
        <f t="shared" si="5"/>
        <v>62764</v>
      </c>
      <c r="O24" s="40">
        <f t="shared" si="6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7"/>
        <v>1349426</v>
      </c>
      <c r="T24" s="41">
        <f t="shared" si="14"/>
        <v>15873191.833999999</v>
      </c>
      <c r="U24" s="42"/>
      <c r="V24" s="70">
        <f t="shared" si="1"/>
        <v>15802213.833999999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8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6502983.8820000002</v>
      </c>
      <c r="K25" s="36">
        <f t="shared" si="9"/>
        <v>18061983.881999999</v>
      </c>
      <c r="L25" s="37">
        <f t="shared" si="10"/>
        <v>459680</v>
      </c>
      <c r="M25" s="38">
        <f t="shared" si="4"/>
        <v>86190</v>
      </c>
      <c r="N25" s="39">
        <f t="shared" si="5"/>
        <v>57460</v>
      </c>
      <c r="O25" s="40">
        <f t="shared" si="6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7"/>
        <v>1235390</v>
      </c>
      <c r="T25" s="41">
        <f>K25-O25</f>
        <v>17458653.881999999</v>
      </c>
      <c r="U25" s="42"/>
      <c r="V25" s="70">
        <f t="shared" si="1"/>
        <v>17331983.881999999</v>
      </c>
      <c r="W25" s="71">
        <v>11000000</v>
      </c>
      <c r="X25" s="71"/>
      <c r="Y25" s="71">
        <f t="shared" si="15"/>
        <v>5728653.8819999993</v>
      </c>
      <c r="Z25" s="71">
        <f t="shared" si="16"/>
        <v>322865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8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3875342.5559999999</v>
      </c>
      <c r="K26" s="36">
        <f t="shared" si="9"/>
        <v>15434342.556</v>
      </c>
      <c r="L26" s="37">
        <f t="shared" si="10"/>
        <v>459680</v>
      </c>
      <c r="M26" s="38">
        <f t="shared" si="4"/>
        <v>86190</v>
      </c>
      <c r="N26" s="39">
        <f t="shared" si="5"/>
        <v>57460</v>
      </c>
      <c r="O26" s="40">
        <f t="shared" si="6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7"/>
        <v>1235390</v>
      </c>
      <c r="T26" s="41">
        <f>K26-O26</f>
        <v>14831012.556</v>
      </c>
      <c r="U26" s="42"/>
      <c r="V26" s="70">
        <f t="shared" si="1"/>
        <v>14704342.556</v>
      </c>
      <c r="W26" s="71">
        <v>11000000</v>
      </c>
      <c r="X26" s="71"/>
      <c r="Y26" s="71">
        <f t="shared" si="15"/>
        <v>3101012.5559999999</v>
      </c>
      <c r="Z26" s="71">
        <f t="shared" si="16"/>
        <v>155051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8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6502983.8820000002</v>
      </c>
      <c r="K27" s="36">
        <f t="shared" si="9"/>
        <v>18061983.881999999</v>
      </c>
      <c r="L27" s="37">
        <f t="shared" si="10"/>
        <v>459680</v>
      </c>
      <c r="M27" s="38">
        <f t="shared" si="4"/>
        <v>86190</v>
      </c>
      <c r="N27" s="39">
        <f t="shared" si="5"/>
        <v>57460</v>
      </c>
      <c r="O27" s="40">
        <f t="shared" si="6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7"/>
        <v>1235390</v>
      </c>
      <c r="T27" s="41">
        <f t="shared" ref="T27" si="17">K27-O27</f>
        <v>17458653.881999999</v>
      </c>
      <c r="U27" s="42"/>
      <c r="V27" s="70">
        <f t="shared" si="1"/>
        <v>17331983.881999999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8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6502983.8820000002</v>
      </c>
      <c r="K28" s="36">
        <f t="shared" si="9"/>
        <v>18061983.881999999</v>
      </c>
      <c r="L28" s="37">
        <f t="shared" si="10"/>
        <v>459680</v>
      </c>
      <c r="M28" s="38">
        <f t="shared" si="4"/>
        <v>86190</v>
      </c>
      <c r="N28" s="39">
        <f t="shared" si="5"/>
        <v>57460</v>
      </c>
      <c r="O28" s="40">
        <f t="shared" si="6"/>
        <v>603330</v>
      </c>
      <c r="P28" s="38">
        <f t="shared" si="11"/>
        <v>1005549.9999999999</v>
      </c>
      <c r="Q28" s="38">
        <f t="shared" si="12"/>
        <v>172380</v>
      </c>
      <c r="R28" s="38">
        <f t="shared" si="13"/>
        <v>57460</v>
      </c>
      <c r="S28" s="40">
        <f t="shared" si="7"/>
        <v>1235390</v>
      </c>
      <c r="T28" s="41">
        <f>K28-O28</f>
        <v>17458653.881999999</v>
      </c>
      <c r="U28" s="42"/>
      <c r="V28" s="70">
        <f t="shared" si="1"/>
        <v>17331983.881999999</v>
      </c>
      <c r="W28" s="71">
        <v>11000000</v>
      </c>
      <c r="X28" s="71">
        <f>4400000*2</f>
        <v>8800000</v>
      </c>
      <c r="Y28" s="71">
        <f t="shared" si="15"/>
        <v>0</v>
      </c>
      <c r="Z28" s="71">
        <f t="shared" si="16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8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8128729.8525</v>
      </c>
      <c r="K29" s="36">
        <f t="shared" si="9"/>
        <v>18847929.852499999</v>
      </c>
      <c r="L29" s="37">
        <f t="shared" si="10"/>
        <v>502112</v>
      </c>
      <c r="M29" s="38">
        <f t="shared" si="4"/>
        <v>94146</v>
      </c>
      <c r="N29" s="39">
        <f t="shared" si="5"/>
        <v>62764</v>
      </c>
      <c r="O29" s="40">
        <f t="shared" si="6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7"/>
        <v>1349426</v>
      </c>
      <c r="T29" s="41">
        <f t="shared" ref="T29:T30" si="18">K29-O29</f>
        <v>18188907.852499999</v>
      </c>
      <c r="U29" s="42"/>
      <c r="V29" s="70">
        <f t="shared" si="1"/>
        <v>18117929.852499999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8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8128729.8525</v>
      </c>
      <c r="K30" s="36">
        <f t="shared" si="9"/>
        <v>18847929.852499999</v>
      </c>
      <c r="L30" s="37">
        <f t="shared" si="10"/>
        <v>502112</v>
      </c>
      <c r="M30" s="38">
        <f t="shared" si="4"/>
        <v>94146</v>
      </c>
      <c r="N30" s="39">
        <f t="shared" si="5"/>
        <v>62764</v>
      </c>
      <c r="O30" s="40">
        <f t="shared" si="6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7"/>
        <v>1349426</v>
      </c>
      <c r="T30" s="41">
        <f t="shared" si="18"/>
        <v>18188907.852499999</v>
      </c>
      <c r="U30" s="42"/>
      <c r="V30" s="70">
        <f t="shared" si="1"/>
        <v>18117929.852499999</v>
      </c>
      <c r="W30" s="71">
        <v>11000000</v>
      </c>
      <c r="X30" s="71">
        <f>4400000</f>
        <v>4400000</v>
      </c>
      <c r="Y30" s="71">
        <f t="shared" si="15"/>
        <v>2058907.8524999991</v>
      </c>
      <c r="Z30" s="71">
        <f t="shared" si="16"/>
        <v>102945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8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6502983.8820000002</v>
      </c>
      <c r="K31" s="36">
        <f t="shared" si="9"/>
        <v>18061983.881999999</v>
      </c>
      <c r="L31" s="37">
        <f t="shared" si="10"/>
        <v>459680</v>
      </c>
      <c r="M31" s="38">
        <f t="shared" si="4"/>
        <v>86190</v>
      </c>
      <c r="N31" s="39">
        <f t="shared" si="5"/>
        <v>57460</v>
      </c>
      <c r="O31" s="40">
        <f t="shared" si="6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7"/>
        <v>1235390</v>
      </c>
      <c r="T31" s="41">
        <f>K31-O31</f>
        <v>17458653.881999999</v>
      </c>
      <c r="U31" s="42"/>
      <c r="V31" s="70">
        <f t="shared" si="1"/>
        <v>17331983.881999999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8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6502983.8820000002</v>
      </c>
      <c r="K32" s="36">
        <f t="shared" si="9"/>
        <v>18061983.881999999</v>
      </c>
      <c r="L32" s="37">
        <f t="shared" si="10"/>
        <v>459680</v>
      </c>
      <c r="M32" s="38">
        <f t="shared" si="4"/>
        <v>86190</v>
      </c>
      <c r="N32" s="39">
        <f t="shared" si="5"/>
        <v>57460</v>
      </c>
      <c r="O32" s="40">
        <f t="shared" si="6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7"/>
        <v>1235390</v>
      </c>
      <c r="T32" s="41">
        <f>K32-O32</f>
        <v>17458653.881999999</v>
      </c>
      <c r="U32" s="42"/>
      <c r="V32" s="70">
        <f t="shared" si="1"/>
        <v>17331983.881999999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8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3875342.5559999999</v>
      </c>
      <c r="K33" s="36">
        <f t="shared" si="9"/>
        <v>15434342.556</v>
      </c>
      <c r="L33" s="37">
        <f t="shared" si="10"/>
        <v>459680</v>
      </c>
      <c r="M33" s="38">
        <f t="shared" si="4"/>
        <v>86190</v>
      </c>
      <c r="N33" s="39">
        <f t="shared" si="5"/>
        <v>57460</v>
      </c>
      <c r="O33" s="40">
        <f t="shared" si="6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7"/>
        <v>1235390</v>
      </c>
      <c r="T33" s="41">
        <f>K33-O33</f>
        <v>14831012.556</v>
      </c>
      <c r="U33" s="42"/>
      <c r="V33" s="70">
        <f t="shared" si="1"/>
        <v>14704342.556</v>
      </c>
      <c r="W33" s="71">
        <v>11000000</v>
      </c>
      <c r="X33" s="71"/>
      <c r="Y33" s="71">
        <f t="shared" si="15"/>
        <v>3101012.5559999999</v>
      </c>
      <c r="Z33" s="71">
        <f t="shared" si="16"/>
        <v>155051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8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11380221.793500001</v>
      </c>
      <c r="K34" s="36">
        <f t="shared" si="9"/>
        <v>23890821.793499999</v>
      </c>
      <c r="L34" s="37">
        <f t="shared" si="10"/>
        <v>634816</v>
      </c>
      <c r="M34" s="38">
        <f t="shared" si="4"/>
        <v>119028</v>
      </c>
      <c r="N34" s="39">
        <f t="shared" si="5"/>
        <v>79352</v>
      </c>
      <c r="O34" s="40">
        <f t="shared" si="6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7"/>
        <v>1706068</v>
      </c>
      <c r="T34" s="41">
        <f>K34-O34</f>
        <v>23057625.793499999</v>
      </c>
      <c r="U34" s="42"/>
      <c r="V34" s="70">
        <f t="shared" si="1"/>
        <v>23160821.793499999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8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3875342.5559999999</v>
      </c>
      <c r="K35" s="36">
        <f t="shared" si="9"/>
        <v>14906542.556</v>
      </c>
      <c r="L35" s="37">
        <f t="shared" si="10"/>
        <v>527072</v>
      </c>
      <c r="M35" s="38">
        <f t="shared" si="4"/>
        <v>98826</v>
      </c>
      <c r="N35" s="39">
        <f t="shared" si="5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7"/>
        <v>1416506</v>
      </c>
      <c r="T35" s="41">
        <f t="shared" ref="T35:T38" si="19">K35-O35</f>
        <v>14214760.556</v>
      </c>
      <c r="U35" s="42"/>
      <c r="V35" s="70">
        <f t="shared" si="1"/>
        <v>14176542.556</v>
      </c>
      <c r="W35" s="71">
        <v>11000000</v>
      </c>
      <c r="X35" s="71"/>
      <c r="Y35" s="71">
        <f t="shared" si="15"/>
        <v>2484760.5559999999</v>
      </c>
      <c r="Z35" s="71">
        <f t="shared" si="16"/>
        <v>124238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8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5813013.8339999998</v>
      </c>
      <c r="K36" s="36">
        <f t="shared" si="9"/>
        <v>16844213.833999999</v>
      </c>
      <c r="L36" s="37">
        <f t="shared" si="10"/>
        <v>527072</v>
      </c>
      <c r="M36" s="38">
        <f t="shared" si="4"/>
        <v>98826</v>
      </c>
      <c r="N36" s="39">
        <f t="shared" si="5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7"/>
        <v>1416506</v>
      </c>
      <c r="T36" s="41">
        <f t="shared" si="19"/>
        <v>16152431.833999999</v>
      </c>
      <c r="U36" s="42"/>
      <c r="V36" s="70">
        <f t="shared" si="1"/>
        <v>16114213.833999999</v>
      </c>
      <c r="W36" s="71">
        <v>11000000</v>
      </c>
      <c r="X36" s="71">
        <f>4400000</f>
        <v>4400000</v>
      </c>
      <c r="Y36" s="71">
        <f t="shared" si="15"/>
        <v>22431.833999998868</v>
      </c>
      <c r="Z36" s="71">
        <f t="shared" si="16"/>
        <v>1122</v>
      </c>
    </row>
    <row r="37" spans="1:26" s="53" customFormat="1" ht="21.75" customHeight="1" x14ac:dyDescent="0.25">
      <c r="A37" s="29">
        <v>24</v>
      </c>
      <c r="B37" s="30" t="s">
        <v>128</v>
      </c>
      <c r="C37" s="31" t="s">
        <v>129</v>
      </c>
      <c r="D37" s="32">
        <f t="shared" si="8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1937671.2779999999</v>
      </c>
      <c r="K37" s="36">
        <f t="shared" si="9"/>
        <v>11635071.278000001</v>
      </c>
      <c r="L37" s="37">
        <f t="shared" si="10"/>
        <v>430976</v>
      </c>
      <c r="M37" s="38">
        <f t="shared" si="4"/>
        <v>80808</v>
      </c>
      <c r="N37" s="39">
        <f t="shared" si="5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7"/>
        <v>1158248</v>
      </c>
      <c r="T37" s="41">
        <f t="shared" si="19"/>
        <v>11069415.278000001</v>
      </c>
      <c r="U37" s="42"/>
      <c r="V37" s="70">
        <f t="shared" si="1"/>
        <v>10905071.278000001</v>
      </c>
      <c r="W37" s="71">
        <v>11000000</v>
      </c>
      <c r="X37" s="71"/>
      <c r="Y37" s="71">
        <f t="shared" si="15"/>
        <v>0</v>
      </c>
      <c r="Z37" s="71">
        <f t="shared" si="16"/>
        <v>0</v>
      </c>
    </row>
    <row r="38" spans="1:26" s="53" customFormat="1" ht="21.75" customHeight="1" x14ac:dyDescent="0.25">
      <c r="A38" s="29">
        <v>25</v>
      </c>
      <c r="B38" s="30" t="s">
        <v>135</v>
      </c>
      <c r="C38" s="31" t="s">
        <v>136</v>
      </c>
      <c r="D38" s="32"/>
      <c r="E38" s="33">
        <v>26</v>
      </c>
      <c r="F38" s="34">
        <v>15000000</v>
      </c>
      <c r="G38" s="34"/>
      <c r="H38" s="35"/>
      <c r="I38" s="35"/>
      <c r="J38" s="35"/>
      <c r="K38" s="36">
        <f t="shared" si="9"/>
        <v>15000000</v>
      </c>
      <c r="L38" s="37"/>
      <c r="M38" s="38"/>
      <c r="N38" s="39"/>
      <c r="O38" s="40"/>
      <c r="P38" s="38"/>
      <c r="Q38" s="38"/>
      <c r="R38" s="38"/>
      <c r="S38" s="40"/>
      <c r="T38" s="41">
        <f t="shared" si="19"/>
        <v>15000000</v>
      </c>
      <c r="U38" s="42"/>
      <c r="V38" s="70">
        <f t="shared" si="1"/>
        <v>15000000</v>
      </c>
      <c r="W38" s="71"/>
      <c r="X38" s="71"/>
      <c r="Y38" s="71">
        <f t="shared" si="15"/>
        <v>15000000</v>
      </c>
      <c r="Z38" s="71">
        <f>Y38*0.1</f>
        <v>1500000</v>
      </c>
    </row>
    <row r="39" spans="1:26" s="53" customFormat="1" ht="21.75" customHeight="1" x14ac:dyDescent="0.25">
      <c r="A39" s="62"/>
      <c r="B39" s="63"/>
      <c r="C39" s="45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62"/>
      <c r="B40" s="63"/>
      <c r="C40" s="45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42535600</v>
      </c>
      <c r="E43" s="51">
        <f t="shared" ref="E43:Z43" si="20">SUM(E44:E51)</f>
        <v>182</v>
      </c>
      <c r="F43" s="51">
        <f t="shared" si="20"/>
        <v>34486200</v>
      </c>
      <c r="G43" s="51">
        <f t="shared" si="20"/>
        <v>8049400</v>
      </c>
      <c r="H43" s="51">
        <f t="shared" si="20"/>
        <v>26475800</v>
      </c>
      <c r="I43" s="51">
        <f t="shared" si="20"/>
        <v>5110000</v>
      </c>
      <c r="J43" s="51">
        <f t="shared" si="20"/>
        <v>0</v>
      </c>
      <c r="K43" s="51">
        <f t="shared" si="20"/>
        <v>74121400</v>
      </c>
      <c r="L43" s="51">
        <f t="shared" si="20"/>
        <v>3402848</v>
      </c>
      <c r="M43" s="51">
        <f t="shared" si="20"/>
        <v>638034</v>
      </c>
      <c r="N43" s="51">
        <f t="shared" si="20"/>
        <v>425356</v>
      </c>
      <c r="O43" s="51">
        <f t="shared" si="20"/>
        <v>4466238</v>
      </c>
      <c r="P43" s="51">
        <f t="shared" si="20"/>
        <v>7443730</v>
      </c>
      <c r="Q43" s="51">
        <f t="shared" si="20"/>
        <v>1276068</v>
      </c>
      <c r="R43" s="51">
        <f t="shared" si="20"/>
        <v>425356</v>
      </c>
      <c r="S43" s="51">
        <f t="shared" si="20"/>
        <v>9145154</v>
      </c>
      <c r="T43" s="51">
        <f t="shared" si="20"/>
        <v>69655162</v>
      </c>
      <c r="U43" s="51">
        <f t="shared" si="20"/>
        <v>0</v>
      </c>
      <c r="V43" s="51">
        <f t="shared" si="20"/>
        <v>69011400</v>
      </c>
      <c r="W43" s="51">
        <f t="shared" si="20"/>
        <v>77000000</v>
      </c>
      <c r="X43" s="51">
        <f t="shared" si="20"/>
        <v>4400000</v>
      </c>
      <c r="Y43" s="51">
        <f t="shared" si="20"/>
        <v>0</v>
      </c>
      <c r="Z43" s="51">
        <f t="shared" si="20"/>
        <v>0</v>
      </c>
    </row>
    <row r="44" spans="1:26" s="26" customFormat="1" ht="21.75" customHeight="1" x14ac:dyDescent="0.25">
      <c r="A44" s="29">
        <v>26</v>
      </c>
      <c r="B44" s="30" t="s">
        <v>42</v>
      </c>
      <c r="C44" s="31" t="s">
        <v>41</v>
      </c>
      <c r="D44" s="43">
        <f t="shared" ref="D44:D50" si="21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50" si="22">D44*8%</f>
        <v>443632</v>
      </c>
      <c r="M44" s="38">
        <f t="shared" ref="M44:M50" si="23">D44*1.5%</f>
        <v>83181</v>
      </c>
      <c r="N44" s="39">
        <f t="shared" ref="N44:N50" si="24">D44*1%</f>
        <v>55454</v>
      </c>
      <c r="O44" s="40">
        <f t="shared" ref="O44:O50" si="25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0" si="26">P44+Q44+R44</f>
        <v>1192261</v>
      </c>
      <c r="T44" s="41">
        <f t="shared" ref="T44:T46" si="27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27</v>
      </c>
      <c r="B45" s="30" t="s">
        <v>79</v>
      </c>
      <c r="C45" s="31" t="s">
        <v>40</v>
      </c>
      <c r="D45" s="43">
        <f t="shared" si="21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51" si="28">F45+G45+H45+I45+J45</f>
        <v>10542400</v>
      </c>
      <c r="L45" s="37">
        <f t="shared" si="22"/>
        <v>484432</v>
      </c>
      <c r="M45" s="38">
        <f t="shared" si="23"/>
        <v>90831</v>
      </c>
      <c r="N45" s="39">
        <f t="shared" si="24"/>
        <v>60554</v>
      </c>
      <c r="O45" s="40">
        <f t="shared" si="25"/>
        <v>635817</v>
      </c>
      <c r="P45" s="38">
        <f t="shared" ref="P45:P48" si="29">D45*17.5%</f>
        <v>1059695</v>
      </c>
      <c r="Q45" s="38">
        <f t="shared" ref="Q45:Q50" si="30">D45*3%</f>
        <v>181662</v>
      </c>
      <c r="R45" s="38">
        <f t="shared" ref="R45:R50" si="31">D45*1%</f>
        <v>60554</v>
      </c>
      <c r="S45" s="40">
        <f t="shared" si="26"/>
        <v>1301911</v>
      </c>
      <c r="T45" s="41">
        <f t="shared" si="27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28</v>
      </c>
      <c r="B46" s="30" t="s">
        <v>81</v>
      </c>
      <c r="C46" s="31" t="s">
        <v>41</v>
      </c>
      <c r="D46" s="43">
        <f t="shared" si="21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28"/>
        <v>10233000</v>
      </c>
      <c r="L46" s="37">
        <f t="shared" si="22"/>
        <v>459680</v>
      </c>
      <c r="M46" s="38">
        <f t="shared" si="23"/>
        <v>86190</v>
      </c>
      <c r="N46" s="39">
        <f t="shared" si="24"/>
        <v>57460</v>
      </c>
      <c r="O46" s="40">
        <f t="shared" si="25"/>
        <v>603330</v>
      </c>
      <c r="P46" s="38">
        <f t="shared" si="29"/>
        <v>1005549.9999999999</v>
      </c>
      <c r="Q46" s="38">
        <f t="shared" si="30"/>
        <v>172380</v>
      </c>
      <c r="R46" s="38">
        <f t="shared" si="31"/>
        <v>57460</v>
      </c>
      <c r="S46" s="40">
        <f t="shared" si="26"/>
        <v>1235390</v>
      </c>
      <c r="T46" s="41">
        <f t="shared" si="27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>
        <f t="shared" si="28"/>
        <v>0</v>
      </c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62">
        <v>29</v>
      </c>
      <c r="B48" s="64" t="s">
        <v>105</v>
      </c>
      <c r="C48" s="31" t="s">
        <v>40</v>
      </c>
      <c r="D48" s="43">
        <f t="shared" si="21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28"/>
        <v>10828400</v>
      </c>
      <c r="L48" s="37">
        <f t="shared" si="22"/>
        <v>503776</v>
      </c>
      <c r="M48" s="38">
        <f t="shared" si="23"/>
        <v>94458</v>
      </c>
      <c r="N48" s="39">
        <f t="shared" si="24"/>
        <v>62972</v>
      </c>
      <c r="O48" s="40">
        <f t="shared" si="25"/>
        <v>661206</v>
      </c>
      <c r="P48" s="38">
        <f t="shared" si="29"/>
        <v>1102010</v>
      </c>
      <c r="Q48" s="38">
        <f t="shared" si="30"/>
        <v>188916</v>
      </c>
      <c r="R48" s="38">
        <f t="shared" si="31"/>
        <v>62972</v>
      </c>
      <c r="S48" s="40">
        <f t="shared" si="26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>
        <v>30</v>
      </c>
      <c r="B49" s="30" t="s">
        <v>106</v>
      </c>
      <c r="C49" s="31" t="s">
        <v>40</v>
      </c>
      <c r="D49" s="43">
        <f t="shared" si="21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28"/>
        <v>10828400</v>
      </c>
      <c r="L49" s="37">
        <f t="shared" si="22"/>
        <v>503776</v>
      </c>
      <c r="M49" s="38">
        <f t="shared" si="23"/>
        <v>94458</v>
      </c>
      <c r="N49" s="39">
        <f t="shared" si="24"/>
        <v>62972</v>
      </c>
      <c r="O49" s="40">
        <f t="shared" si="25"/>
        <v>661206</v>
      </c>
      <c r="P49" s="38">
        <f>D49*17.5%</f>
        <v>1102010</v>
      </c>
      <c r="Q49" s="38">
        <f t="shared" si="30"/>
        <v>188916</v>
      </c>
      <c r="R49" s="38">
        <f t="shared" si="31"/>
        <v>62972</v>
      </c>
      <c r="S49" s="40">
        <f t="shared" si="26"/>
        <v>1353898</v>
      </c>
      <c r="T49" s="41">
        <f>K49-O49</f>
        <v>10167194</v>
      </c>
      <c r="U49" s="42"/>
      <c r="V49" s="70">
        <f t="shared" si="1"/>
        <v>10098400</v>
      </c>
      <c r="W49" s="71">
        <v>11000000</v>
      </c>
      <c r="X49" s="71"/>
      <c r="Y49" s="71">
        <f t="shared" si="15"/>
        <v>0</v>
      </c>
      <c r="Z49" s="71">
        <f t="shared" si="16"/>
        <v>0</v>
      </c>
    </row>
    <row r="50" spans="1:26" s="14" customFormat="1" ht="17.25" customHeight="1" x14ac:dyDescent="0.25">
      <c r="A50" s="29">
        <v>31</v>
      </c>
      <c r="B50" s="64" t="s">
        <v>124</v>
      </c>
      <c r="C50" s="31" t="s">
        <v>40</v>
      </c>
      <c r="D50" s="43">
        <f t="shared" si="21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28"/>
        <v>10828400</v>
      </c>
      <c r="L50" s="37">
        <f t="shared" si="22"/>
        <v>503776</v>
      </c>
      <c r="M50" s="38">
        <f t="shared" si="23"/>
        <v>94458</v>
      </c>
      <c r="N50" s="39">
        <f t="shared" si="24"/>
        <v>62972</v>
      </c>
      <c r="O50" s="40">
        <f t="shared" si="25"/>
        <v>661206</v>
      </c>
      <c r="P50" s="38">
        <f>D50*17.5%</f>
        <v>1102010</v>
      </c>
      <c r="Q50" s="38">
        <f t="shared" si="30"/>
        <v>188916</v>
      </c>
      <c r="R50" s="38">
        <f t="shared" si="31"/>
        <v>62972</v>
      </c>
      <c r="S50" s="40">
        <f t="shared" si="26"/>
        <v>1353898</v>
      </c>
      <c r="T50" s="41">
        <f>K50-O50</f>
        <v>10167194</v>
      </c>
      <c r="U50" s="42"/>
      <c r="V50" s="70">
        <f t="shared" si="1"/>
        <v>10098400</v>
      </c>
      <c r="W50" s="71">
        <v>11000000</v>
      </c>
      <c r="X50" s="71"/>
      <c r="Y50" s="71">
        <f t="shared" ref="Y50:Y51" si="32">MAX(V50-O50-W50-X50,0)</f>
        <v>0</v>
      </c>
      <c r="Z50" s="71">
        <f t="shared" ref="Z50:Z51" si="33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32</v>
      </c>
      <c r="B51" s="30" t="s">
        <v>130</v>
      </c>
      <c r="C51" s="31" t="s">
        <v>40</v>
      </c>
      <c r="D51" s="43">
        <f t="shared" ref="D51" si="34">F51+G51</f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28"/>
        <v>10828400</v>
      </c>
      <c r="L51" s="37">
        <f t="shared" ref="L51" si="35">D51*8%</f>
        <v>503776</v>
      </c>
      <c r="M51" s="38">
        <f t="shared" ref="M51" si="36">D51*1.5%</f>
        <v>94458</v>
      </c>
      <c r="N51" s="39">
        <f t="shared" ref="N51" si="37">D51*1%</f>
        <v>62972</v>
      </c>
      <c r="O51" s="40">
        <f t="shared" ref="O51" si="38">L51+M51+N51</f>
        <v>661206</v>
      </c>
      <c r="P51" s="38">
        <f>D51*17.5%</f>
        <v>1102010</v>
      </c>
      <c r="Q51" s="38">
        <f t="shared" ref="Q51" si="39">D51*3%</f>
        <v>188916</v>
      </c>
      <c r="R51" s="38">
        <f t="shared" ref="R51" si="40">D51*1%</f>
        <v>62972</v>
      </c>
      <c r="S51" s="40">
        <f t="shared" ref="S51" si="41">P51+Q51+R51</f>
        <v>1353898</v>
      </c>
      <c r="T51" s="41">
        <f>K51-O51</f>
        <v>10167194</v>
      </c>
      <c r="U51" s="42"/>
      <c r="V51" s="70">
        <f t="shared" ref="V51" si="42">K51-I51</f>
        <v>10098400</v>
      </c>
      <c r="W51" s="71">
        <v>11000000</v>
      </c>
      <c r="X51" s="71"/>
      <c r="Y51" s="71">
        <f t="shared" si="32"/>
        <v>0</v>
      </c>
      <c r="Z51" s="71">
        <f t="shared" si="33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U52" si="43">D11+D13+D15+D43</f>
        <v>200133400</v>
      </c>
      <c r="E52" s="47">
        <f t="shared" si="43"/>
        <v>832</v>
      </c>
      <c r="F52" s="47">
        <f t="shared" si="43"/>
        <v>179311600</v>
      </c>
      <c r="G52" s="47">
        <f t="shared" si="43"/>
        <v>35821800</v>
      </c>
      <c r="H52" s="47">
        <f t="shared" si="43"/>
        <v>127163400</v>
      </c>
      <c r="I52" s="47">
        <f t="shared" si="43"/>
        <v>21900000</v>
      </c>
      <c r="J52" s="47">
        <f t="shared" si="43"/>
        <v>127380304.74000001</v>
      </c>
      <c r="K52" s="47">
        <f>K11+K13+K15+K43</f>
        <v>478411904.73999995</v>
      </c>
      <c r="L52" s="47">
        <f t="shared" si="43"/>
        <v>16010672</v>
      </c>
      <c r="M52" s="47">
        <f t="shared" si="43"/>
        <v>3002001</v>
      </c>
      <c r="N52" s="47">
        <f t="shared" si="43"/>
        <v>2001334</v>
      </c>
      <c r="O52" s="47">
        <f t="shared" si="43"/>
        <v>21014007</v>
      </c>
      <c r="P52" s="47">
        <f t="shared" si="43"/>
        <v>35023345</v>
      </c>
      <c r="Q52" s="47">
        <f t="shared" si="43"/>
        <v>6004002</v>
      </c>
      <c r="R52" s="47">
        <f t="shared" si="43"/>
        <v>2001334</v>
      </c>
      <c r="S52" s="47">
        <f t="shared" si="43"/>
        <v>43028681</v>
      </c>
      <c r="T52" s="47">
        <f t="shared" si="43"/>
        <v>458780243.73999995</v>
      </c>
      <c r="U52" s="47">
        <f t="shared" si="43"/>
        <v>0</v>
      </c>
      <c r="V52" s="47">
        <f>V11+V13+V15+V43</f>
        <v>456511904.73999995</v>
      </c>
      <c r="W52" s="47">
        <f t="shared" ref="W52" si="44">W11+W13+W15+W43</f>
        <v>330000000</v>
      </c>
      <c r="X52" s="47">
        <f>X11+X13+X15+X43</f>
        <v>114400000</v>
      </c>
      <c r="Y52" s="47">
        <f>Y11+Y13+Y15+Y43</f>
        <v>49463029.377500005</v>
      </c>
      <c r="Z52" s="47">
        <f>Z11+Z13+Z15+Z43</f>
        <v>3264901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134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Z8:Z9"/>
    <mergeCell ref="J8:J9"/>
    <mergeCell ref="V8:V9"/>
    <mergeCell ref="W8:W9"/>
    <mergeCell ref="X8:X9"/>
    <mergeCell ref="Y8:Y9"/>
    <mergeCell ref="U8:U9"/>
    <mergeCell ref="A15:C15"/>
    <mergeCell ref="A11:C11"/>
    <mergeCell ref="A43:C43"/>
    <mergeCell ref="A52:B52"/>
    <mergeCell ref="T8:T9"/>
    <mergeCell ref="N53:T53"/>
    <mergeCell ref="N54:T54"/>
    <mergeCell ref="N55:T55"/>
    <mergeCell ref="A13:C13"/>
    <mergeCell ref="A5:U5"/>
    <mergeCell ref="A6:U6"/>
    <mergeCell ref="A8:A9"/>
    <mergeCell ref="B8:B9"/>
    <mergeCell ref="C8:C9"/>
    <mergeCell ref="D8:D9"/>
    <mergeCell ref="E8:E9"/>
    <mergeCell ref="F8:F9"/>
    <mergeCell ref="G8:I8"/>
    <mergeCell ref="K8:K9"/>
    <mergeCell ref="L8:O8"/>
    <mergeCell ref="P8:S8"/>
  </mergeCells>
  <hyperlinks>
    <hyperlink ref="B12" r:id="rId1" display="javascript:submitform('8460891335')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28" workbookViewId="0">
      <pane xSplit="4" topLeftCell="G1" activePane="topRight" state="frozen"/>
      <selection activeCell="A10" sqref="A10"/>
      <selection pane="topRight" activeCell="Z39" sqref="Z3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2.285156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144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5" t="s">
        <v>15</v>
      </c>
      <c r="H9" s="75" t="s">
        <v>16</v>
      </c>
      <c r="I9" s="75" t="s">
        <v>17</v>
      </c>
      <c r="J9" s="82"/>
      <c r="K9" s="88"/>
      <c r="L9" s="74" t="s">
        <v>18</v>
      </c>
      <c r="M9" s="74" t="s">
        <v>19</v>
      </c>
      <c r="N9" s="74" t="s">
        <v>20</v>
      </c>
      <c r="O9" s="75" t="s">
        <v>21</v>
      </c>
      <c r="P9" s="74" t="s">
        <v>87</v>
      </c>
      <c r="Q9" s="74" t="s">
        <v>22</v>
      </c>
      <c r="R9" s="74" t="s">
        <v>20</v>
      </c>
      <c r="S9" s="75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Y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>
        <f t="shared" si="2"/>
        <v>0</v>
      </c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>SUM(W14:W14)</f>
        <v>11000000</v>
      </c>
      <c r="X13" s="51">
        <f t="shared" si="2"/>
        <v>0</v>
      </c>
      <c r="Y13" s="51">
        <f t="shared" si="2"/>
        <v>3736450</v>
      </c>
      <c r="Z13" s="51">
        <f>SUM(Z14:Z14)</f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SUM(D16:D38)</f>
        <v>132362600</v>
      </c>
      <c r="E15" s="51">
        <f t="shared" ref="E15:V15" si="3">SUM(E16:E38)</f>
        <v>598</v>
      </c>
      <c r="F15" s="51">
        <f t="shared" si="3"/>
        <v>124233400</v>
      </c>
      <c r="G15" s="51">
        <f t="shared" si="3"/>
        <v>23129200</v>
      </c>
      <c r="H15" s="51">
        <f t="shared" si="3"/>
        <v>96753800</v>
      </c>
      <c r="I15" s="51">
        <f t="shared" si="3"/>
        <v>16060000</v>
      </c>
      <c r="J15" s="51">
        <f t="shared" si="3"/>
        <v>119704340.1275</v>
      </c>
      <c r="K15" s="51">
        <f t="shared" si="3"/>
        <v>379880740.1275</v>
      </c>
      <c r="L15" s="51">
        <f t="shared" si="3"/>
        <v>10589008</v>
      </c>
      <c r="M15" s="51">
        <f t="shared" si="3"/>
        <v>1985439</v>
      </c>
      <c r="N15" s="51">
        <f t="shared" si="3"/>
        <v>1323626</v>
      </c>
      <c r="O15" s="51">
        <f t="shared" si="3"/>
        <v>13898073</v>
      </c>
      <c r="P15" s="51">
        <f t="shared" si="3"/>
        <v>23163455</v>
      </c>
      <c r="Q15" s="51">
        <f t="shared" si="3"/>
        <v>3970878</v>
      </c>
      <c r="R15" s="51">
        <f t="shared" si="3"/>
        <v>1323626</v>
      </c>
      <c r="S15" s="51">
        <f t="shared" si="3"/>
        <v>28457959</v>
      </c>
      <c r="T15" s="51">
        <f t="shared" si="3"/>
        <v>365982667.1275</v>
      </c>
      <c r="U15" s="51">
        <f t="shared" si="3"/>
        <v>0</v>
      </c>
      <c r="V15" s="51">
        <f t="shared" si="3"/>
        <v>363820740.1275</v>
      </c>
      <c r="W15" s="51">
        <f>SUM(W16:W38)</f>
        <v>242000000</v>
      </c>
      <c r="X15" s="51">
        <f t="shared" ref="X15:Y15" si="4">SUM(X16:X38)</f>
        <v>110000000</v>
      </c>
      <c r="Y15" s="51">
        <f t="shared" si="4"/>
        <v>42478275.257999994</v>
      </c>
      <c r="Z15" s="51">
        <f>SUM(Z16:Z38)</f>
        <v>2899411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6164557.7314999998</v>
      </c>
      <c r="K16" s="36">
        <f>F16+G16+H16+I16+J16</f>
        <v>16877357.7315</v>
      </c>
      <c r="L16" s="37">
        <f t="shared" ref="L16:L37" si="5">D16*8%</f>
        <v>501600</v>
      </c>
      <c r="M16" s="38">
        <f t="shared" ref="M16:M37" si="6">D16*1.5%</f>
        <v>94050</v>
      </c>
      <c r="N16" s="39">
        <f t="shared" ref="N16:N37" si="7">D16*1%</f>
        <v>62700</v>
      </c>
      <c r="O16" s="40">
        <f t="shared" ref="O16:O34" si="8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9">P16+Q16+R16</f>
        <v>1348050</v>
      </c>
      <c r="T16" s="41">
        <f>K16-O16</f>
        <v>16219007.7315</v>
      </c>
      <c r="U16" s="42"/>
      <c r="V16" s="70">
        <f>K16-I16</f>
        <v>16147357.7315</v>
      </c>
      <c r="W16" s="71">
        <v>11000000</v>
      </c>
      <c r="X16" s="71"/>
      <c r="Y16" s="71">
        <f>MAX(V16-O16-W16-X16,0)</f>
        <v>4489007.7314999998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224450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10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5283906.6270000003</v>
      </c>
      <c r="K17" s="36">
        <f t="shared" ref="K17:K38" si="11">F17+G17+H17+I17+J17</f>
        <v>15471106.627</v>
      </c>
      <c r="L17" s="37">
        <f t="shared" si="5"/>
        <v>459552</v>
      </c>
      <c r="M17" s="38">
        <f t="shared" si="6"/>
        <v>86166</v>
      </c>
      <c r="N17" s="39">
        <f t="shared" si="7"/>
        <v>57444</v>
      </c>
      <c r="O17" s="40">
        <f t="shared" si="8"/>
        <v>603162</v>
      </c>
      <c r="P17" s="38">
        <f t="shared" ref="P17:P34" si="12">D17*17.5%</f>
        <v>1005269.9999999999</v>
      </c>
      <c r="Q17" s="38">
        <f t="shared" ref="Q17:Q37" si="13">D17*3%</f>
        <v>172332</v>
      </c>
      <c r="R17" s="38">
        <f t="shared" ref="R17:R37" si="14">D17*1%</f>
        <v>57444</v>
      </c>
      <c r="S17" s="40">
        <f t="shared" si="9"/>
        <v>1235046</v>
      </c>
      <c r="T17" s="41">
        <f t="shared" ref="T17:T24" si="15">K17-O17</f>
        <v>14867944.627</v>
      </c>
      <c r="U17" s="42"/>
      <c r="V17" s="70">
        <f t="shared" si="1"/>
        <v>14741106.627</v>
      </c>
      <c r="W17" s="71">
        <v>11000000</v>
      </c>
      <c r="X17" s="71">
        <f>4400000</f>
        <v>4400000</v>
      </c>
      <c r="Y17" s="71">
        <f t="shared" ref="Y17:Y49" si="16">MAX(V17-O17-W17-X17,0)</f>
        <v>0</v>
      </c>
      <c r="Z17" s="71">
        <f t="shared" ref="Z17:Z49" si="17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10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5283906.6270000003</v>
      </c>
      <c r="K18" s="36">
        <f t="shared" si="11"/>
        <v>15471106.627</v>
      </c>
      <c r="L18" s="37">
        <f t="shared" si="5"/>
        <v>459552</v>
      </c>
      <c r="M18" s="38">
        <f t="shared" si="6"/>
        <v>86166</v>
      </c>
      <c r="N18" s="39">
        <f t="shared" si="7"/>
        <v>57444</v>
      </c>
      <c r="O18" s="40">
        <f t="shared" si="8"/>
        <v>603162</v>
      </c>
      <c r="P18" s="38">
        <f t="shared" si="12"/>
        <v>1005269.9999999999</v>
      </c>
      <c r="Q18" s="38">
        <f t="shared" si="13"/>
        <v>172332</v>
      </c>
      <c r="R18" s="38">
        <f t="shared" si="14"/>
        <v>57444</v>
      </c>
      <c r="S18" s="40">
        <f t="shared" si="9"/>
        <v>1235046</v>
      </c>
      <c r="T18" s="41">
        <f t="shared" si="15"/>
        <v>14867944.627</v>
      </c>
      <c r="U18" s="42"/>
      <c r="V18" s="70">
        <f t="shared" si="1"/>
        <v>14741106.627</v>
      </c>
      <c r="W18" s="71">
        <v>11000000</v>
      </c>
      <c r="X18" s="71">
        <f>4400000</f>
        <v>4400000</v>
      </c>
      <c r="Y18" s="71">
        <f t="shared" si="16"/>
        <v>0</v>
      </c>
      <c r="Z18" s="71">
        <f t="shared" si="17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3522604.4180000001</v>
      </c>
      <c r="K19" s="36">
        <f t="shared" si="11"/>
        <v>14881004.418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2"/>
        <v>970444.99999999988</v>
      </c>
      <c r="Q19" s="38">
        <f>D19*3%</f>
        <v>166362</v>
      </c>
      <c r="R19" s="38">
        <f t="shared" si="14"/>
        <v>55454</v>
      </c>
      <c r="S19" s="40">
        <f>P19+Q19+R19</f>
        <v>1192261</v>
      </c>
      <c r="T19" s="41">
        <f>K19-O19</f>
        <v>14298737.418</v>
      </c>
      <c r="U19" s="42"/>
      <c r="V19" s="70">
        <f t="shared" si="1"/>
        <v>14151004.418</v>
      </c>
      <c r="W19" s="71">
        <v>11000000</v>
      </c>
      <c r="X19" s="71"/>
      <c r="Y19" s="71">
        <f t="shared" si="16"/>
        <v>2568737.4179999996</v>
      </c>
      <c r="Z19" s="71">
        <f t="shared" si="17"/>
        <v>128437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7855312.2324999999</v>
      </c>
      <c r="K20" s="36">
        <f t="shared" si="11"/>
        <v>18568112.232500002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2"/>
        <v>1097250</v>
      </c>
      <c r="Q20" s="38">
        <f>D20*3%</f>
        <v>188100</v>
      </c>
      <c r="R20" s="38">
        <f t="shared" si="14"/>
        <v>62700</v>
      </c>
      <c r="S20" s="40">
        <f>P20+Q20+R20</f>
        <v>1348050</v>
      </c>
      <c r="T20" s="41">
        <f>K20-O20</f>
        <v>17909762.232500002</v>
      </c>
      <c r="U20" s="42"/>
      <c r="V20" s="70">
        <f t="shared" si="1"/>
        <v>17838112.232500002</v>
      </c>
      <c r="W20" s="71">
        <v>11000000</v>
      </c>
      <c r="X20" s="71">
        <f>4400000*2</f>
        <v>8800000</v>
      </c>
      <c r="Y20" s="71">
        <f t="shared" si="16"/>
        <v>0</v>
      </c>
      <c r="Z20" s="71">
        <f t="shared" si="17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10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3522604.4180000001</v>
      </c>
      <c r="K21" s="36">
        <f t="shared" si="11"/>
        <v>15081604.418</v>
      </c>
      <c r="L21" s="37">
        <f t="shared" si="5"/>
        <v>459680</v>
      </c>
      <c r="M21" s="38">
        <f t="shared" si="6"/>
        <v>86190</v>
      </c>
      <c r="N21" s="39">
        <f t="shared" si="7"/>
        <v>57460</v>
      </c>
      <c r="O21" s="40">
        <f t="shared" si="8"/>
        <v>603330</v>
      </c>
      <c r="P21" s="38">
        <f t="shared" si="12"/>
        <v>1005549.9999999999</v>
      </c>
      <c r="Q21" s="38">
        <f t="shared" si="13"/>
        <v>172380</v>
      </c>
      <c r="R21" s="38">
        <f t="shared" si="14"/>
        <v>57460</v>
      </c>
      <c r="S21" s="40">
        <f t="shared" si="9"/>
        <v>1235390</v>
      </c>
      <c r="T21" s="41">
        <f t="shared" si="15"/>
        <v>14478274.418</v>
      </c>
      <c r="U21" s="42"/>
      <c r="V21" s="70">
        <f t="shared" si="1"/>
        <v>14351604.418</v>
      </c>
      <c r="W21" s="71">
        <v>11000000</v>
      </c>
      <c r="X21" s="71">
        <f>4400000</f>
        <v>4400000</v>
      </c>
      <c r="Y21" s="71">
        <f t="shared" si="16"/>
        <v>0</v>
      </c>
      <c r="Z21" s="71">
        <f t="shared" si="17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10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3522604.4180000001</v>
      </c>
      <c r="K22" s="36">
        <f t="shared" si="11"/>
        <v>15081604.418</v>
      </c>
      <c r="L22" s="37">
        <f t="shared" si="5"/>
        <v>459680</v>
      </c>
      <c r="M22" s="38">
        <f t="shared" si="6"/>
        <v>86190</v>
      </c>
      <c r="N22" s="39">
        <f t="shared" si="7"/>
        <v>57460</v>
      </c>
      <c r="O22" s="40">
        <f t="shared" si="8"/>
        <v>603330</v>
      </c>
      <c r="P22" s="38">
        <f t="shared" si="12"/>
        <v>1005549.9999999999</v>
      </c>
      <c r="Q22" s="38">
        <f t="shared" si="13"/>
        <v>172380</v>
      </c>
      <c r="R22" s="38">
        <f t="shared" si="14"/>
        <v>57460</v>
      </c>
      <c r="S22" s="40">
        <f t="shared" si="9"/>
        <v>1235390</v>
      </c>
      <c r="T22" s="41">
        <f t="shared" si="15"/>
        <v>14478274.418</v>
      </c>
      <c r="U22" s="42"/>
      <c r="V22" s="70">
        <f t="shared" si="1"/>
        <v>14351604.418</v>
      </c>
      <c r="W22" s="71">
        <v>11000000</v>
      </c>
      <c r="X22" s="71"/>
      <c r="Y22" s="71">
        <f t="shared" si="16"/>
        <v>2748274.4179999996</v>
      </c>
      <c r="Z22" s="71">
        <f t="shared" si="17"/>
        <v>137414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10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3522604.4180000001</v>
      </c>
      <c r="K23" s="36">
        <f t="shared" si="11"/>
        <v>15081604.418</v>
      </c>
      <c r="L23" s="37">
        <f t="shared" si="5"/>
        <v>459680</v>
      </c>
      <c r="M23" s="38">
        <f t="shared" si="6"/>
        <v>86190</v>
      </c>
      <c r="N23" s="39">
        <f t="shared" si="7"/>
        <v>57460</v>
      </c>
      <c r="O23" s="40">
        <f t="shared" si="8"/>
        <v>603330</v>
      </c>
      <c r="P23" s="38">
        <f t="shared" si="12"/>
        <v>1005549.9999999999</v>
      </c>
      <c r="Q23" s="38">
        <f t="shared" si="13"/>
        <v>172380</v>
      </c>
      <c r="R23" s="38">
        <f t="shared" si="14"/>
        <v>57460</v>
      </c>
      <c r="S23" s="40">
        <f t="shared" si="9"/>
        <v>1235390</v>
      </c>
      <c r="T23" s="41">
        <f t="shared" si="15"/>
        <v>14478274.418</v>
      </c>
      <c r="U23" s="42"/>
      <c r="V23" s="70">
        <f t="shared" si="1"/>
        <v>14351604.418</v>
      </c>
      <c r="W23" s="71">
        <v>11000000</v>
      </c>
      <c r="X23" s="71"/>
      <c r="Y23" s="71">
        <f t="shared" si="16"/>
        <v>2748274.4179999996</v>
      </c>
      <c r="Z23" s="71">
        <f t="shared" si="17"/>
        <v>137414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10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5283906.6270000003</v>
      </c>
      <c r="K24" s="36">
        <f t="shared" si="11"/>
        <v>16003106.627</v>
      </c>
      <c r="L24" s="37">
        <f t="shared" si="5"/>
        <v>502112</v>
      </c>
      <c r="M24" s="38">
        <f t="shared" si="6"/>
        <v>94146</v>
      </c>
      <c r="N24" s="39">
        <f t="shared" si="7"/>
        <v>62764</v>
      </c>
      <c r="O24" s="40">
        <f t="shared" si="8"/>
        <v>659022</v>
      </c>
      <c r="P24" s="38">
        <f t="shared" si="12"/>
        <v>1098370</v>
      </c>
      <c r="Q24" s="38">
        <f t="shared" si="13"/>
        <v>188292</v>
      </c>
      <c r="R24" s="38">
        <f t="shared" si="14"/>
        <v>62764</v>
      </c>
      <c r="S24" s="40">
        <f t="shared" si="9"/>
        <v>1349426</v>
      </c>
      <c r="T24" s="41">
        <f t="shared" si="15"/>
        <v>15344084.627</v>
      </c>
      <c r="U24" s="42"/>
      <c r="V24" s="70">
        <f t="shared" si="1"/>
        <v>15273106.627</v>
      </c>
      <c r="W24" s="71">
        <v>11000000</v>
      </c>
      <c r="X24" s="71">
        <f>4400000*2</f>
        <v>8800000</v>
      </c>
      <c r="Y24" s="71">
        <f t="shared" si="16"/>
        <v>0</v>
      </c>
      <c r="Z24" s="71">
        <f t="shared" si="17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10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6284249.7860000003</v>
      </c>
      <c r="K25" s="36">
        <f t="shared" si="11"/>
        <v>17843249.785999998</v>
      </c>
      <c r="L25" s="37">
        <f t="shared" si="5"/>
        <v>459680</v>
      </c>
      <c r="M25" s="38">
        <f t="shared" si="6"/>
        <v>86190</v>
      </c>
      <c r="N25" s="39">
        <f t="shared" si="7"/>
        <v>57460</v>
      </c>
      <c r="O25" s="40">
        <f t="shared" si="8"/>
        <v>603330</v>
      </c>
      <c r="P25" s="38">
        <f t="shared" si="12"/>
        <v>1005549.9999999999</v>
      </c>
      <c r="Q25" s="38">
        <f t="shared" si="13"/>
        <v>172380</v>
      </c>
      <c r="R25" s="38">
        <f t="shared" si="14"/>
        <v>57460</v>
      </c>
      <c r="S25" s="40">
        <f t="shared" si="9"/>
        <v>1235390</v>
      </c>
      <c r="T25" s="41">
        <f>K25-O25</f>
        <v>17239919.785999998</v>
      </c>
      <c r="U25" s="42"/>
      <c r="V25" s="70">
        <f t="shared" si="1"/>
        <v>17113249.785999998</v>
      </c>
      <c r="W25" s="71">
        <v>11000000</v>
      </c>
      <c r="X25" s="71"/>
      <c r="Y25" s="71">
        <f t="shared" si="16"/>
        <v>5509919.7859999985</v>
      </c>
      <c r="Z25" s="71">
        <f t="shared" si="17"/>
        <v>300992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10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3522604.4180000001</v>
      </c>
      <c r="K26" s="36">
        <f t="shared" si="11"/>
        <v>15081604.418</v>
      </c>
      <c r="L26" s="37">
        <f t="shared" si="5"/>
        <v>459680</v>
      </c>
      <c r="M26" s="38">
        <f t="shared" si="6"/>
        <v>86190</v>
      </c>
      <c r="N26" s="39">
        <f t="shared" si="7"/>
        <v>57460</v>
      </c>
      <c r="O26" s="40">
        <f t="shared" si="8"/>
        <v>603330</v>
      </c>
      <c r="P26" s="38">
        <f t="shared" si="12"/>
        <v>1005549.9999999999</v>
      </c>
      <c r="Q26" s="38">
        <f t="shared" si="13"/>
        <v>172380</v>
      </c>
      <c r="R26" s="38">
        <f t="shared" si="14"/>
        <v>57460</v>
      </c>
      <c r="S26" s="40">
        <f t="shared" si="9"/>
        <v>1235390</v>
      </c>
      <c r="T26" s="41">
        <f>K26-O26</f>
        <v>14478274.418</v>
      </c>
      <c r="U26" s="42"/>
      <c r="V26" s="70">
        <f t="shared" si="1"/>
        <v>14351604.418</v>
      </c>
      <c r="W26" s="71">
        <v>11000000</v>
      </c>
      <c r="X26" s="71"/>
      <c r="Y26" s="71">
        <f t="shared" si="16"/>
        <v>2748274.4179999996</v>
      </c>
      <c r="Z26" s="71">
        <f t="shared" si="17"/>
        <v>137414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10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6284249.7860000003</v>
      </c>
      <c r="K27" s="36">
        <f t="shared" si="11"/>
        <v>17843249.785999998</v>
      </c>
      <c r="L27" s="37">
        <f t="shared" si="5"/>
        <v>459680</v>
      </c>
      <c r="M27" s="38">
        <f t="shared" si="6"/>
        <v>86190</v>
      </c>
      <c r="N27" s="39">
        <f t="shared" si="7"/>
        <v>57460</v>
      </c>
      <c r="O27" s="40">
        <f t="shared" si="8"/>
        <v>603330</v>
      </c>
      <c r="P27" s="38">
        <f t="shared" si="12"/>
        <v>1005549.9999999999</v>
      </c>
      <c r="Q27" s="38">
        <f t="shared" si="13"/>
        <v>172380</v>
      </c>
      <c r="R27" s="38">
        <f t="shared" si="14"/>
        <v>57460</v>
      </c>
      <c r="S27" s="40">
        <f t="shared" si="9"/>
        <v>1235390</v>
      </c>
      <c r="T27" s="41">
        <f t="shared" ref="T27" si="18">K27-O27</f>
        <v>17239919.785999998</v>
      </c>
      <c r="U27" s="42"/>
      <c r="V27" s="70">
        <f t="shared" si="1"/>
        <v>17113249.785999998</v>
      </c>
      <c r="W27" s="71">
        <v>11000000</v>
      </c>
      <c r="X27" s="71">
        <f>4400000*2</f>
        <v>8800000</v>
      </c>
      <c r="Y27" s="71">
        <f t="shared" si="16"/>
        <v>0</v>
      </c>
      <c r="Z27" s="71">
        <f t="shared" si="17"/>
        <v>0</v>
      </c>
    </row>
    <row r="28" spans="1:26" s="53" customFormat="1" ht="21.75" customHeight="1" x14ac:dyDescent="0.25">
      <c r="A28" s="29">
        <v>15</v>
      </c>
      <c r="B28" s="30" t="s">
        <v>91</v>
      </c>
      <c r="C28" s="31" t="s">
        <v>30</v>
      </c>
      <c r="D28" s="32">
        <f t="shared" si="10"/>
        <v>5746000</v>
      </c>
      <c r="E28" s="33">
        <v>26</v>
      </c>
      <c r="F28" s="34">
        <v>4773600</v>
      </c>
      <c r="G28" s="34">
        <v>972400</v>
      </c>
      <c r="H28" s="35">
        <v>5083000</v>
      </c>
      <c r="I28" s="35">
        <v>730000</v>
      </c>
      <c r="J28" s="35">
        <v>6284249.7860000003</v>
      </c>
      <c r="K28" s="36">
        <f t="shared" si="11"/>
        <v>17843249.785999998</v>
      </c>
      <c r="L28" s="37">
        <f t="shared" si="5"/>
        <v>459680</v>
      </c>
      <c r="M28" s="38">
        <f t="shared" si="6"/>
        <v>86190</v>
      </c>
      <c r="N28" s="39">
        <f t="shared" si="7"/>
        <v>57460</v>
      </c>
      <c r="O28" s="40">
        <f t="shared" si="8"/>
        <v>603330</v>
      </c>
      <c r="P28" s="38">
        <f t="shared" si="12"/>
        <v>1005549.9999999999</v>
      </c>
      <c r="Q28" s="38">
        <f t="shared" si="13"/>
        <v>172380</v>
      </c>
      <c r="R28" s="38">
        <f t="shared" si="14"/>
        <v>57460</v>
      </c>
      <c r="S28" s="40">
        <f t="shared" si="9"/>
        <v>1235390</v>
      </c>
      <c r="T28" s="41">
        <f>K28-O28</f>
        <v>17239919.785999998</v>
      </c>
      <c r="U28" s="42"/>
      <c r="V28" s="70">
        <f t="shared" si="1"/>
        <v>17113249.785999998</v>
      </c>
      <c r="W28" s="71">
        <v>11000000</v>
      </c>
      <c r="X28" s="71">
        <f>4400000*2</f>
        <v>8800000</v>
      </c>
      <c r="Y28" s="71">
        <f t="shared" si="16"/>
        <v>0</v>
      </c>
      <c r="Z28" s="71">
        <f t="shared" si="17"/>
        <v>0</v>
      </c>
    </row>
    <row r="29" spans="1:26" s="53" customFormat="1" ht="21.75" customHeight="1" x14ac:dyDescent="0.25">
      <c r="A29" s="29">
        <v>16</v>
      </c>
      <c r="B29" s="30" t="s">
        <v>92</v>
      </c>
      <c r="C29" s="31" t="s">
        <v>29</v>
      </c>
      <c r="D29" s="32">
        <f t="shared" si="10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7855312.2324999999</v>
      </c>
      <c r="K29" s="36">
        <f t="shared" si="11"/>
        <v>18574512.232500002</v>
      </c>
      <c r="L29" s="37">
        <f t="shared" si="5"/>
        <v>502112</v>
      </c>
      <c r="M29" s="38">
        <f t="shared" si="6"/>
        <v>94146</v>
      </c>
      <c r="N29" s="39">
        <f t="shared" si="7"/>
        <v>62764</v>
      </c>
      <c r="O29" s="40">
        <f t="shared" si="8"/>
        <v>659022</v>
      </c>
      <c r="P29" s="38">
        <f t="shared" si="12"/>
        <v>1098370</v>
      </c>
      <c r="Q29" s="38">
        <f t="shared" si="13"/>
        <v>188292</v>
      </c>
      <c r="R29" s="38">
        <f t="shared" si="14"/>
        <v>62764</v>
      </c>
      <c r="S29" s="40">
        <f t="shared" si="9"/>
        <v>1349426</v>
      </c>
      <c r="T29" s="41">
        <f t="shared" ref="T29:T30" si="19">K29-O29</f>
        <v>17915490.232500002</v>
      </c>
      <c r="U29" s="42"/>
      <c r="V29" s="70">
        <f t="shared" si="1"/>
        <v>17844512.232500002</v>
      </c>
      <c r="W29" s="71">
        <v>11000000</v>
      </c>
      <c r="X29" s="71">
        <f>4400000*3</f>
        <v>13200000</v>
      </c>
      <c r="Y29" s="71">
        <f t="shared" si="16"/>
        <v>0</v>
      </c>
      <c r="Z29" s="71">
        <f t="shared" si="17"/>
        <v>0</v>
      </c>
    </row>
    <row r="30" spans="1:26" s="53" customFormat="1" ht="21.75" customHeight="1" x14ac:dyDescent="0.25">
      <c r="A30" s="29">
        <v>17</v>
      </c>
      <c r="B30" s="30" t="s">
        <v>93</v>
      </c>
      <c r="C30" s="31" t="s">
        <v>29</v>
      </c>
      <c r="D30" s="32">
        <f t="shared" si="10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7855312.2324999999</v>
      </c>
      <c r="K30" s="36">
        <f t="shared" si="11"/>
        <v>18574512.232500002</v>
      </c>
      <c r="L30" s="37">
        <f t="shared" si="5"/>
        <v>502112</v>
      </c>
      <c r="M30" s="38">
        <f t="shared" si="6"/>
        <v>94146</v>
      </c>
      <c r="N30" s="39">
        <f t="shared" si="7"/>
        <v>62764</v>
      </c>
      <c r="O30" s="40">
        <f t="shared" si="8"/>
        <v>659022</v>
      </c>
      <c r="P30" s="38">
        <f t="shared" si="12"/>
        <v>1098370</v>
      </c>
      <c r="Q30" s="38">
        <f t="shared" si="13"/>
        <v>188292</v>
      </c>
      <c r="R30" s="38">
        <f t="shared" si="14"/>
        <v>62764</v>
      </c>
      <c r="S30" s="40">
        <f t="shared" si="9"/>
        <v>1349426</v>
      </c>
      <c r="T30" s="41">
        <f t="shared" si="19"/>
        <v>17915490.232500002</v>
      </c>
      <c r="U30" s="42"/>
      <c r="V30" s="70">
        <f t="shared" si="1"/>
        <v>17844512.232500002</v>
      </c>
      <c r="W30" s="71">
        <v>11000000</v>
      </c>
      <c r="X30" s="71">
        <f>4400000</f>
        <v>4400000</v>
      </c>
      <c r="Y30" s="71">
        <f t="shared" si="16"/>
        <v>1785490.2325000018</v>
      </c>
      <c r="Z30" s="71">
        <f t="shared" si="17"/>
        <v>89275</v>
      </c>
    </row>
    <row r="31" spans="1:26" s="53" customFormat="1" ht="21.75" customHeight="1" x14ac:dyDescent="0.25">
      <c r="A31" s="29">
        <v>18</v>
      </c>
      <c r="B31" s="30" t="s">
        <v>94</v>
      </c>
      <c r="C31" s="31" t="s">
        <v>30</v>
      </c>
      <c r="D31" s="32">
        <f t="shared" si="10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6284249.7860000003</v>
      </c>
      <c r="K31" s="36">
        <f t="shared" si="11"/>
        <v>17843249.785999998</v>
      </c>
      <c r="L31" s="37">
        <f t="shared" si="5"/>
        <v>459680</v>
      </c>
      <c r="M31" s="38">
        <f t="shared" si="6"/>
        <v>86190</v>
      </c>
      <c r="N31" s="39">
        <f t="shared" si="7"/>
        <v>57460</v>
      </c>
      <c r="O31" s="40">
        <f t="shared" si="8"/>
        <v>603330</v>
      </c>
      <c r="P31" s="38">
        <f t="shared" si="12"/>
        <v>1005549.9999999999</v>
      </c>
      <c r="Q31" s="38">
        <f t="shared" si="13"/>
        <v>172380</v>
      </c>
      <c r="R31" s="38">
        <f t="shared" si="14"/>
        <v>57460</v>
      </c>
      <c r="S31" s="40">
        <f t="shared" si="9"/>
        <v>1235390</v>
      </c>
      <c r="T31" s="41">
        <f>K31-O31</f>
        <v>17239919.785999998</v>
      </c>
      <c r="U31" s="42"/>
      <c r="V31" s="70">
        <f t="shared" si="1"/>
        <v>17113249.785999998</v>
      </c>
      <c r="W31" s="71">
        <v>11000000</v>
      </c>
      <c r="X31" s="71">
        <f>4400000*3</f>
        <v>13200000</v>
      </c>
      <c r="Y31" s="71">
        <f t="shared" si="16"/>
        <v>0</v>
      </c>
      <c r="Z31" s="71">
        <f t="shared" si="17"/>
        <v>0</v>
      </c>
    </row>
    <row r="32" spans="1:26" s="53" customFormat="1" ht="21.75" customHeight="1" x14ac:dyDescent="0.25">
      <c r="A32" s="29">
        <v>19</v>
      </c>
      <c r="B32" s="30" t="s">
        <v>95</v>
      </c>
      <c r="C32" s="31" t="s">
        <v>30</v>
      </c>
      <c r="D32" s="32">
        <f t="shared" si="10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6284249.7860000003</v>
      </c>
      <c r="K32" s="36">
        <f t="shared" si="11"/>
        <v>17843249.785999998</v>
      </c>
      <c r="L32" s="37">
        <f t="shared" si="5"/>
        <v>459680</v>
      </c>
      <c r="M32" s="38">
        <f t="shared" si="6"/>
        <v>86190</v>
      </c>
      <c r="N32" s="39">
        <f t="shared" si="7"/>
        <v>57460</v>
      </c>
      <c r="O32" s="40">
        <f t="shared" si="8"/>
        <v>603330</v>
      </c>
      <c r="P32" s="38">
        <f t="shared" si="12"/>
        <v>1005549.9999999999</v>
      </c>
      <c r="Q32" s="38">
        <f t="shared" si="13"/>
        <v>172380</v>
      </c>
      <c r="R32" s="38">
        <f t="shared" si="14"/>
        <v>57460</v>
      </c>
      <c r="S32" s="40">
        <f t="shared" si="9"/>
        <v>1235390</v>
      </c>
      <c r="T32" s="41">
        <f>K32-O32</f>
        <v>17239919.785999998</v>
      </c>
      <c r="U32" s="42"/>
      <c r="V32" s="70">
        <f t="shared" si="1"/>
        <v>17113249.785999998</v>
      </c>
      <c r="W32" s="71">
        <v>11000000</v>
      </c>
      <c r="X32" s="71">
        <f>4400000*3</f>
        <v>13200000</v>
      </c>
      <c r="Y32" s="71">
        <f t="shared" si="16"/>
        <v>0</v>
      </c>
      <c r="Z32" s="71">
        <f t="shared" si="17"/>
        <v>0</v>
      </c>
    </row>
    <row r="33" spans="1:26" s="53" customFormat="1" ht="21.75" customHeight="1" x14ac:dyDescent="0.25">
      <c r="A33" s="29">
        <v>20</v>
      </c>
      <c r="B33" s="63" t="s">
        <v>99</v>
      </c>
      <c r="C33" s="31" t="s">
        <v>30</v>
      </c>
      <c r="D33" s="32">
        <f t="shared" si="10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3522604.4180000001</v>
      </c>
      <c r="K33" s="36">
        <f t="shared" si="11"/>
        <v>15081604.418</v>
      </c>
      <c r="L33" s="37">
        <f t="shared" si="5"/>
        <v>459680</v>
      </c>
      <c r="M33" s="38">
        <f t="shared" si="6"/>
        <v>86190</v>
      </c>
      <c r="N33" s="39">
        <f t="shared" si="7"/>
        <v>57460</v>
      </c>
      <c r="O33" s="40">
        <f t="shared" si="8"/>
        <v>603330</v>
      </c>
      <c r="P33" s="38">
        <f t="shared" si="12"/>
        <v>1005549.9999999999</v>
      </c>
      <c r="Q33" s="38">
        <f t="shared" si="13"/>
        <v>172380</v>
      </c>
      <c r="R33" s="38">
        <f t="shared" si="14"/>
        <v>57460</v>
      </c>
      <c r="S33" s="40">
        <f t="shared" si="9"/>
        <v>1235390</v>
      </c>
      <c r="T33" s="41">
        <f>K33-O33</f>
        <v>14478274.418</v>
      </c>
      <c r="U33" s="42"/>
      <c r="V33" s="70">
        <f t="shared" si="1"/>
        <v>14351604.418</v>
      </c>
      <c r="W33" s="71">
        <v>11000000</v>
      </c>
      <c r="X33" s="71"/>
      <c r="Y33" s="71">
        <f t="shared" si="16"/>
        <v>2748274.4179999996</v>
      </c>
      <c r="Z33" s="71">
        <f t="shared" si="17"/>
        <v>137414</v>
      </c>
    </row>
    <row r="34" spans="1:26" s="53" customFormat="1" ht="21.75" customHeight="1" x14ac:dyDescent="0.25">
      <c r="A34" s="29">
        <v>21</v>
      </c>
      <c r="B34" s="30" t="s">
        <v>102</v>
      </c>
      <c r="C34" s="31" t="s">
        <v>118</v>
      </c>
      <c r="D34" s="32">
        <f t="shared" si="10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10997437.125500001</v>
      </c>
      <c r="K34" s="36">
        <f t="shared" si="11"/>
        <v>23508037.125500001</v>
      </c>
      <c r="L34" s="37">
        <f t="shared" si="5"/>
        <v>634816</v>
      </c>
      <c r="M34" s="38">
        <f t="shared" si="6"/>
        <v>119028</v>
      </c>
      <c r="N34" s="39">
        <f t="shared" si="7"/>
        <v>79352</v>
      </c>
      <c r="O34" s="40">
        <f t="shared" si="8"/>
        <v>833196</v>
      </c>
      <c r="P34" s="38">
        <f t="shared" si="12"/>
        <v>1388660</v>
      </c>
      <c r="Q34" s="38">
        <f t="shared" si="13"/>
        <v>238056</v>
      </c>
      <c r="R34" s="38">
        <f t="shared" si="14"/>
        <v>79352</v>
      </c>
      <c r="S34" s="40">
        <f t="shared" si="9"/>
        <v>1706068</v>
      </c>
      <c r="T34" s="41">
        <f>K34-O34</f>
        <v>22674841.125500001</v>
      </c>
      <c r="U34" s="42"/>
      <c r="V34" s="70">
        <f t="shared" si="1"/>
        <v>22778037.125500001</v>
      </c>
      <c r="W34" s="71">
        <v>11000000</v>
      </c>
      <c r="X34" s="71">
        <f>4400000*3</f>
        <v>13200000</v>
      </c>
      <c r="Y34" s="71">
        <f t="shared" si="16"/>
        <v>0</v>
      </c>
      <c r="Z34" s="71">
        <f t="shared" si="17"/>
        <v>0</v>
      </c>
    </row>
    <row r="35" spans="1:26" s="53" customFormat="1" ht="21.75" customHeight="1" x14ac:dyDescent="0.25">
      <c r="A35" s="29">
        <v>22</v>
      </c>
      <c r="B35" s="63" t="s">
        <v>104</v>
      </c>
      <c r="C35" s="31" t="s">
        <v>29</v>
      </c>
      <c r="D35" s="32">
        <f t="shared" si="10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3522604.4180000001</v>
      </c>
      <c r="K35" s="36">
        <f t="shared" si="11"/>
        <v>14553804.418</v>
      </c>
      <c r="L35" s="37">
        <f t="shared" si="5"/>
        <v>527072</v>
      </c>
      <c r="M35" s="38">
        <f t="shared" si="6"/>
        <v>98826</v>
      </c>
      <c r="N35" s="39">
        <f t="shared" si="7"/>
        <v>65884</v>
      </c>
      <c r="O35" s="40">
        <f>L35+M35+N35</f>
        <v>691782</v>
      </c>
      <c r="P35" s="38">
        <f>D35*17.5%</f>
        <v>1152970</v>
      </c>
      <c r="Q35" s="38">
        <f t="shared" si="13"/>
        <v>197652</v>
      </c>
      <c r="R35" s="38">
        <f t="shared" si="14"/>
        <v>65884</v>
      </c>
      <c r="S35" s="40">
        <f t="shared" si="9"/>
        <v>1416506</v>
      </c>
      <c r="T35" s="41">
        <f t="shared" ref="T35:T38" si="20">K35-O35</f>
        <v>13862022.418</v>
      </c>
      <c r="U35" s="42"/>
      <c r="V35" s="70">
        <f t="shared" si="1"/>
        <v>13823804.418</v>
      </c>
      <c r="W35" s="71">
        <v>11000000</v>
      </c>
      <c r="X35" s="71"/>
      <c r="Y35" s="71">
        <f t="shared" si="16"/>
        <v>2132022.4179999996</v>
      </c>
      <c r="Z35" s="71">
        <f t="shared" si="17"/>
        <v>106601</v>
      </c>
    </row>
    <row r="36" spans="1:26" s="53" customFormat="1" ht="21.75" customHeight="1" x14ac:dyDescent="0.25">
      <c r="A36" s="62">
        <v>23</v>
      </c>
      <c r="B36" s="30" t="s">
        <v>111</v>
      </c>
      <c r="C36" s="31" t="s">
        <v>29</v>
      </c>
      <c r="D36" s="32">
        <f t="shared" si="10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5283906.6270000003</v>
      </c>
      <c r="K36" s="36">
        <f t="shared" si="11"/>
        <v>16315106.627</v>
      </c>
      <c r="L36" s="37">
        <f t="shared" si="5"/>
        <v>527072</v>
      </c>
      <c r="M36" s="38">
        <f t="shared" si="6"/>
        <v>98826</v>
      </c>
      <c r="N36" s="39">
        <f t="shared" si="7"/>
        <v>65884</v>
      </c>
      <c r="O36" s="40">
        <f>L36+M36+N36</f>
        <v>691782</v>
      </c>
      <c r="P36" s="38">
        <f>D36*17.5%</f>
        <v>1152970</v>
      </c>
      <c r="Q36" s="38">
        <f t="shared" si="13"/>
        <v>197652</v>
      </c>
      <c r="R36" s="38">
        <f t="shared" si="14"/>
        <v>65884</v>
      </c>
      <c r="S36" s="40">
        <f t="shared" si="9"/>
        <v>1416506</v>
      </c>
      <c r="T36" s="41">
        <f t="shared" si="20"/>
        <v>15623324.627</v>
      </c>
      <c r="U36" s="42"/>
      <c r="V36" s="70">
        <f t="shared" si="1"/>
        <v>15585106.627</v>
      </c>
      <c r="W36" s="71">
        <v>11000000</v>
      </c>
      <c r="X36" s="71">
        <f>4400000</f>
        <v>4400000</v>
      </c>
      <c r="Y36" s="71">
        <f t="shared" si="16"/>
        <v>0</v>
      </c>
      <c r="Z36" s="71">
        <f t="shared" si="17"/>
        <v>0</v>
      </c>
    </row>
    <row r="37" spans="1:26" s="53" customFormat="1" ht="21.75" customHeight="1" x14ac:dyDescent="0.25">
      <c r="A37" s="29">
        <v>24</v>
      </c>
      <c r="B37" s="30" t="s">
        <v>128</v>
      </c>
      <c r="C37" s="31" t="s">
        <v>129</v>
      </c>
      <c r="D37" s="32">
        <f t="shared" si="10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1761302.209</v>
      </c>
      <c r="K37" s="36">
        <f t="shared" si="11"/>
        <v>11458702.209000001</v>
      </c>
      <c r="L37" s="37">
        <f t="shared" si="5"/>
        <v>430976</v>
      </c>
      <c r="M37" s="38">
        <f t="shared" si="6"/>
        <v>80808</v>
      </c>
      <c r="N37" s="39">
        <f t="shared" si="7"/>
        <v>53872</v>
      </c>
      <c r="O37" s="40">
        <f>L37+M37+N37</f>
        <v>565656</v>
      </c>
      <c r="P37" s="38">
        <f>D37*17.5%</f>
        <v>942759.99999999988</v>
      </c>
      <c r="Q37" s="38">
        <f t="shared" si="13"/>
        <v>161616</v>
      </c>
      <c r="R37" s="38">
        <f t="shared" si="14"/>
        <v>53872</v>
      </c>
      <c r="S37" s="40">
        <f t="shared" si="9"/>
        <v>1158248</v>
      </c>
      <c r="T37" s="41">
        <f t="shared" si="20"/>
        <v>10893046.209000001</v>
      </c>
      <c r="U37" s="42"/>
      <c r="V37" s="70">
        <f t="shared" si="1"/>
        <v>10728702.209000001</v>
      </c>
      <c r="W37" s="71">
        <v>11000000</v>
      </c>
      <c r="X37" s="71"/>
      <c r="Y37" s="71">
        <f t="shared" si="16"/>
        <v>0</v>
      </c>
      <c r="Z37" s="71">
        <f t="shared" si="17"/>
        <v>0</v>
      </c>
    </row>
    <row r="38" spans="1:26" s="53" customFormat="1" ht="21.75" customHeight="1" x14ac:dyDescent="0.25">
      <c r="A38" s="29">
        <v>25</v>
      </c>
      <c r="B38" s="30" t="s">
        <v>135</v>
      </c>
      <c r="C38" s="31" t="s">
        <v>136</v>
      </c>
      <c r="D38" s="32"/>
      <c r="E38" s="33">
        <v>26</v>
      </c>
      <c r="F38" s="34">
        <v>15000000</v>
      </c>
      <c r="G38" s="34"/>
      <c r="H38" s="35"/>
      <c r="I38" s="35"/>
      <c r="J38" s="35"/>
      <c r="K38" s="36">
        <f t="shared" si="11"/>
        <v>15000000</v>
      </c>
      <c r="L38" s="37"/>
      <c r="M38" s="38"/>
      <c r="N38" s="39"/>
      <c r="O38" s="40"/>
      <c r="P38" s="38"/>
      <c r="Q38" s="38"/>
      <c r="R38" s="38"/>
      <c r="S38" s="40"/>
      <c r="T38" s="41">
        <f t="shared" si="20"/>
        <v>15000000</v>
      </c>
      <c r="U38" s="42"/>
      <c r="V38" s="70">
        <f t="shared" si="1"/>
        <v>15000000</v>
      </c>
      <c r="W38" s="71"/>
      <c r="X38" s="71"/>
      <c r="Y38" s="71">
        <f t="shared" si="16"/>
        <v>15000000</v>
      </c>
      <c r="Z38" s="71">
        <f>Y38*0.1</f>
        <v>1500000</v>
      </c>
    </row>
    <row r="39" spans="1:26" s="53" customFormat="1" ht="21.75" customHeight="1" x14ac:dyDescent="0.25">
      <c r="A39" s="29"/>
      <c r="B39" s="30"/>
      <c r="C39" s="31"/>
      <c r="D39" s="32"/>
      <c r="E39" s="33"/>
      <c r="F39" s="34"/>
      <c r="G39" s="34"/>
      <c r="H39" s="35"/>
      <c r="I39" s="35"/>
      <c r="J39" s="35"/>
      <c r="K39" s="36"/>
      <c r="L39" s="37"/>
      <c r="M39" s="38"/>
      <c r="N39" s="39"/>
      <c r="O39" s="40"/>
      <c r="P39" s="38"/>
      <c r="Q39" s="38"/>
      <c r="R39" s="38"/>
      <c r="S39" s="40"/>
      <c r="T39" s="41"/>
      <c r="U39" s="42"/>
      <c r="V39" s="70"/>
      <c r="W39" s="71"/>
      <c r="X39" s="71"/>
      <c r="Y39" s="71"/>
      <c r="Z39" s="71"/>
    </row>
    <row r="40" spans="1:26" s="53" customFormat="1" ht="21.75" customHeight="1" x14ac:dyDescent="0.25">
      <c r="A40" s="29"/>
      <c r="B40" s="30"/>
      <c r="C40" s="31"/>
      <c r="D40" s="32"/>
      <c r="E40" s="33"/>
      <c r="F40" s="34"/>
      <c r="G40" s="34"/>
      <c r="H40" s="35"/>
      <c r="I40" s="35"/>
      <c r="J40" s="35"/>
      <c r="K40" s="36"/>
      <c r="L40" s="37"/>
      <c r="M40" s="38"/>
      <c r="N40" s="39"/>
      <c r="O40" s="40"/>
      <c r="P40" s="38"/>
      <c r="Q40" s="38"/>
      <c r="R40" s="38"/>
      <c r="S40" s="40"/>
      <c r="T40" s="41"/>
      <c r="U40" s="42"/>
      <c r="V40" s="70"/>
      <c r="W40" s="71"/>
      <c r="X40" s="71"/>
      <c r="Y40" s="71"/>
      <c r="Z40" s="71"/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42535600</v>
      </c>
      <c r="E43" s="51">
        <f t="shared" ref="E43:V43" si="21">SUM(E44:E51)</f>
        <v>182</v>
      </c>
      <c r="F43" s="51">
        <f t="shared" si="21"/>
        <v>34486200</v>
      </c>
      <c r="G43" s="51">
        <f t="shared" si="21"/>
        <v>8049400</v>
      </c>
      <c r="H43" s="51">
        <f t="shared" si="21"/>
        <v>26475800</v>
      </c>
      <c r="I43" s="51">
        <f t="shared" si="21"/>
        <v>5110000</v>
      </c>
      <c r="J43" s="51">
        <f t="shared" si="21"/>
        <v>0</v>
      </c>
      <c r="K43" s="51">
        <f t="shared" si="21"/>
        <v>74121400</v>
      </c>
      <c r="L43" s="51">
        <f t="shared" si="21"/>
        <v>3402848</v>
      </c>
      <c r="M43" s="51">
        <f t="shared" si="21"/>
        <v>638034</v>
      </c>
      <c r="N43" s="51">
        <f t="shared" si="21"/>
        <v>425356</v>
      </c>
      <c r="O43" s="51">
        <f t="shared" si="21"/>
        <v>4466238</v>
      </c>
      <c r="P43" s="51">
        <f t="shared" si="21"/>
        <v>7443730</v>
      </c>
      <c r="Q43" s="51">
        <f t="shared" si="21"/>
        <v>1276068</v>
      </c>
      <c r="R43" s="51">
        <f t="shared" si="21"/>
        <v>425356</v>
      </c>
      <c r="S43" s="51">
        <f t="shared" si="21"/>
        <v>9145154</v>
      </c>
      <c r="T43" s="51">
        <f t="shared" si="21"/>
        <v>69655162</v>
      </c>
      <c r="U43" s="51">
        <f t="shared" si="21"/>
        <v>0</v>
      </c>
      <c r="V43" s="51">
        <f t="shared" si="21"/>
        <v>69011400</v>
      </c>
      <c r="W43" s="51">
        <f>SUM(W44:W51)</f>
        <v>77000000</v>
      </c>
      <c r="X43" s="51">
        <f t="shared" ref="X43:Z43" si="22">SUM(X44:X51)</f>
        <v>4400000</v>
      </c>
      <c r="Y43" s="51">
        <f t="shared" si="22"/>
        <v>0</v>
      </c>
      <c r="Z43" s="51">
        <f t="shared" si="22"/>
        <v>0</v>
      </c>
    </row>
    <row r="44" spans="1:26" s="26" customFormat="1" ht="21.75" customHeight="1" x14ac:dyDescent="0.25">
      <c r="A44" s="29">
        <v>26</v>
      </c>
      <c r="B44" s="30" t="s">
        <v>42</v>
      </c>
      <c r="C44" s="31" t="s">
        <v>41</v>
      </c>
      <c r="D44" s="43">
        <f t="shared" ref="D44:D51" si="23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 t="shared" ref="K44:K51" si="24">F44+G44+H44+I44</f>
        <v>10032400</v>
      </c>
      <c r="L44" s="37">
        <f t="shared" ref="L44:L51" si="25">D44*8%</f>
        <v>443632</v>
      </c>
      <c r="M44" s="38">
        <f t="shared" ref="M44:M51" si="26">D44*1.5%</f>
        <v>83181</v>
      </c>
      <c r="N44" s="39">
        <f t="shared" ref="N44:N51" si="27">D44*1%</f>
        <v>55454</v>
      </c>
      <c r="O44" s="40">
        <f t="shared" ref="O44:O51" si="28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1" si="29">P44+Q44+R44</f>
        <v>1192261</v>
      </c>
      <c r="T44" s="41">
        <f t="shared" ref="T44:T46" si="30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6"/>
        <v>0</v>
      </c>
      <c r="Z44" s="71">
        <f t="shared" si="17"/>
        <v>0</v>
      </c>
    </row>
    <row r="45" spans="1:26" s="26" customFormat="1" ht="21.75" customHeight="1" x14ac:dyDescent="0.25">
      <c r="A45" s="29">
        <v>27</v>
      </c>
      <c r="B45" s="30" t="s">
        <v>79</v>
      </c>
      <c r="C45" s="31" t="s">
        <v>40</v>
      </c>
      <c r="D45" s="43">
        <f t="shared" si="23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si="24"/>
        <v>10542400</v>
      </c>
      <c r="L45" s="37">
        <f t="shared" si="25"/>
        <v>484432</v>
      </c>
      <c r="M45" s="38">
        <f t="shared" si="26"/>
        <v>90831</v>
      </c>
      <c r="N45" s="39">
        <f t="shared" si="27"/>
        <v>60554</v>
      </c>
      <c r="O45" s="40">
        <f t="shared" si="28"/>
        <v>635817</v>
      </c>
      <c r="P45" s="38">
        <f t="shared" ref="P45:P48" si="31">D45*17.5%</f>
        <v>1059695</v>
      </c>
      <c r="Q45" s="38">
        <f t="shared" ref="Q45:Q51" si="32">D45*3%</f>
        <v>181662</v>
      </c>
      <c r="R45" s="38">
        <f t="shared" ref="R45:R51" si="33">D45*1%</f>
        <v>60554</v>
      </c>
      <c r="S45" s="40">
        <f t="shared" si="29"/>
        <v>1301911</v>
      </c>
      <c r="T45" s="41">
        <f t="shared" si="30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6"/>
        <v>0</v>
      </c>
      <c r="Z45" s="71">
        <f t="shared" si="17"/>
        <v>0</v>
      </c>
    </row>
    <row r="46" spans="1:26" s="14" customFormat="1" ht="21.75" customHeight="1" x14ac:dyDescent="0.25">
      <c r="A46" s="29">
        <v>28</v>
      </c>
      <c r="B46" s="30" t="s">
        <v>81</v>
      </c>
      <c r="C46" s="31" t="s">
        <v>41</v>
      </c>
      <c r="D46" s="43">
        <f t="shared" si="23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24"/>
        <v>10233000</v>
      </c>
      <c r="L46" s="37">
        <f t="shared" si="25"/>
        <v>459680</v>
      </c>
      <c r="M46" s="38">
        <f t="shared" si="26"/>
        <v>86190</v>
      </c>
      <c r="N46" s="39">
        <f t="shared" si="27"/>
        <v>57460</v>
      </c>
      <c r="O46" s="40">
        <f t="shared" si="28"/>
        <v>603330</v>
      </c>
      <c r="P46" s="38">
        <f t="shared" si="31"/>
        <v>1005549.9999999999</v>
      </c>
      <c r="Q46" s="38">
        <f t="shared" si="32"/>
        <v>172380</v>
      </c>
      <c r="R46" s="38">
        <f t="shared" si="33"/>
        <v>57460</v>
      </c>
      <c r="S46" s="40">
        <f t="shared" si="29"/>
        <v>1235390</v>
      </c>
      <c r="T46" s="41">
        <f t="shared" si="30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6"/>
        <v>0</v>
      </c>
      <c r="Z46" s="71">
        <f t="shared" si="17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7"/>
        <v>0</v>
      </c>
    </row>
    <row r="48" spans="1:26" s="14" customFormat="1" ht="17.25" customHeight="1" x14ac:dyDescent="0.25">
      <c r="A48" s="62">
        <v>29</v>
      </c>
      <c r="B48" s="64" t="s">
        <v>105</v>
      </c>
      <c r="C48" s="31" t="s">
        <v>40</v>
      </c>
      <c r="D48" s="43">
        <f t="shared" si="23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24"/>
        <v>10828400</v>
      </c>
      <c r="L48" s="37">
        <f t="shared" si="25"/>
        <v>503776</v>
      </c>
      <c r="M48" s="38">
        <f t="shared" si="26"/>
        <v>94458</v>
      </c>
      <c r="N48" s="39">
        <f t="shared" si="27"/>
        <v>62972</v>
      </c>
      <c r="O48" s="40">
        <f t="shared" si="28"/>
        <v>661206</v>
      </c>
      <c r="P48" s="38">
        <f t="shared" si="31"/>
        <v>1102010</v>
      </c>
      <c r="Q48" s="38">
        <f t="shared" si="32"/>
        <v>188916</v>
      </c>
      <c r="R48" s="38">
        <f t="shared" si="33"/>
        <v>62972</v>
      </c>
      <c r="S48" s="40">
        <f t="shared" si="29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6"/>
        <v>0</v>
      </c>
      <c r="Z48" s="71">
        <f t="shared" si="17"/>
        <v>0</v>
      </c>
    </row>
    <row r="49" spans="1:26" s="14" customFormat="1" ht="17.25" customHeight="1" x14ac:dyDescent="0.25">
      <c r="A49" s="29">
        <v>30</v>
      </c>
      <c r="B49" s="30" t="s">
        <v>106</v>
      </c>
      <c r="C49" s="31" t="s">
        <v>40</v>
      </c>
      <c r="D49" s="43">
        <f t="shared" si="23"/>
        <v>6297200</v>
      </c>
      <c r="E49" s="33">
        <v>26</v>
      </c>
      <c r="F49" s="34">
        <v>5148000</v>
      </c>
      <c r="G49" s="34">
        <v>1149200</v>
      </c>
      <c r="H49" s="35">
        <v>3801200</v>
      </c>
      <c r="I49" s="35">
        <v>730000</v>
      </c>
      <c r="J49" s="35"/>
      <c r="K49" s="36">
        <f t="shared" si="24"/>
        <v>10828400</v>
      </c>
      <c r="L49" s="37">
        <f t="shared" si="25"/>
        <v>503776</v>
      </c>
      <c r="M49" s="38">
        <f t="shared" si="26"/>
        <v>94458</v>
      </c>
      <c r="N49" s="39">
        <f t="shared" si="27"/>
        <v>62972</v>
      </c>
      <c r="O49" s="40">
        <f t="shared" si="28"/>
        <v>661206</v>
      </c>
      <c r="P49" s="38">
        <f>D49*17.5%</f>
        <v>1102010</v>
      </c>
      <c r="Q49" s="38">
        <f t="shared" si="32"/>
        <v>188916</v>
      </c>
      <c r="R49" s="38">
        <f t="shared" si="33"/>
        <v>62972</v>
      </c>
      <c r="S49" s="40">
        <f t="shared" si="29"/>
        <v>1353898</v>
      </c>
      <c r="T49" s="41">
        <f>K49-O49</f>
        <v>10167194</v>
      </c>
      <c r="U49" s="42"/>
      <c r="V49" s="70">
        <f t="shared" si="1"/>
        <v>10098400</v>
      </c>
      <c r="W49" s="71">
        <v>11000000</v>
      </c>
      <c r="X49" s="71"/>
      <c r="Y49" s="71">
        <f t="shared" si="16"/>
        <v>0</v>
      </c>
      <c r="Z49" s="71">
        <f t="shared" si="17"/>
        <v>0</v>
      </c>
    </row>
    <row r="50" spans="1:26" s="14" customFormat="1" ht="17.25" customHeight="1" x14ac:dyDescent="0.25">
      <c r="A50" s="29">
        <v>31</v>
      </c>
      <c r="B50" s="64" t="s">
        <v>124</v>
      </c>
      <c r="C50" s="31" t="s">
        <v>40</v>
      </c>
      <c r="D50" s="43">
        <f t="shared" si="23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24"/>
        <v>10828400</v>
      </c>
      <c r="L50" s="37">
        <f t="shared" si="25"/>
        <v>503776</v>
      </c>
      <c r="M50" s="38">
        <f t="shared" si="26"/>
        <v>94458</v>
      </c>
      <c r="N50" s="39">
        <f t="shared" si="27"/>
        <v>62972</v>
      </c>
      <c r="O50" s="40">
        <f t="shared" si="28"/>
        <v>661206</v>
      </c>
      <c r="P50" s="38">
        <f>D50*17.5%</f>
        <v>1102010</v>
      </c>
      <c r="Q50" s="38">
        <f t="shared" si="32"/>
        <v>188916</v>
      </c>
      <c r="R50" s="38">
        <f t="shared" si="33"/>
        <v>62972</v>
      </c>
      <c r="S50" s="40">
        <f t="shared" si="29"/>
        <v>1353898</v>
      </c>
      <c r="T50" s="41">
        <f>K50-O50</f>
        <v>10167194</v>
      </c>
      <c r="U50" s="42"/>
      <c r="V50" s="70">
        <f t="shared" ref="V50:V51" si="34">K50-I50</f>
        <v>10098400</v>
      </c>
      <c r="W50" s="71">
        <v>11000000</v>
      </c>
      <c r="X50" s="71"/>
      <c r="Y50" s="71">
        <f t="shared" ref="Y50:Y51" si="35">MAX(V50-O50-W50-X50,0)</f>
        <v>0</v>
      </c>
      <c r="Z50" s="71">
        <f t="shared" ref="Z50:Z51" si="36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32</v>
      </c>
      <c r="B51" s="30" t="s">
        <v>130</v>
      </c>
      <c r="C51" s="31" t="s">
        <v>40</v>
      </c>
      <c r="D51" s="43">
        <f t="shared" si="23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24"/>
        <v>10828400</v>
      </c>
      <c r="L51" s="37">
        <f t="shared" si="25"/>
        <v>503776</v>
      </c>
      <c r="M51" s="38">
        <f t="shared" si="26"/>
        <v>94458</v>
      </c>
      <c r="N51" s="39">
        <f t="shared" si="27"/>
        <v>62972</v>
      </c>
      <c r="O51" s="40">
        <f t="shared" si="28"/>
        <v>661206</v>
      </c>
      <c r="P51" s="38">
        <f>D51*17.5%</f>
        <v>1102010</v>
      </c>
      <c r="Q51" s="38">
        <f t="shared" si="32"/>
        <v>188916</v>
      </c>
      <c r="R51" s="38">
        <f t="shared" si="33"/>
        <v>62972</v>
      </c>
      <c r="S51" s="40">
        <f t="shared" si="29"/>
        <v>1353898</v>
      </c>
      <c r="T51" s="41">
        <f>K51-O51</f>
        <v>10167194</v>
      </c>
      <c r="U51" s="42"/>
      <c r="V51" s="70">
        <f t="shared" si="34"/>
        <v>10098400</v>
      </c>
      <c r="W51" s="71">
        <v>11000000</v>
      </c>
      <c r="X51" s="71"/>
      <c r="Y51" s="71">
        <f t="shared" si="35"/>
        <v>0</v>
      </c>
      <c r="Z51" s="71">
        <f t="shared" si="36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U52" si="37">D11+D13+D15+D43</f>
        <v>200133400</v>
      </c>
      <c r="E52" s="47">
        <f t="shared" si="37"/>
        <v>832</v>
      </c>
      <c r="F52" s="47">
        <f t="shared" si="37"/>
        <v>179311600</v>
      </c>
      <c r="G52" s="47">
        <f t="shared" si="37"/>
        <v>35821800</v>
      </c>
      <c r="H52" s="47">
        <f t="shared" si="37"/>
        <v>127163400</v>
      </c>
      <c r="I52" s="47">
        <f t="shared" si="37"/>
        <v>21900000</v>
      </c>
      <c r="J52" s="47">
        <f t="shared" si="37"/>
        <v>119704340.1275</v>
      </c>
      <c r="K52" s="47">
        <f t="shared" si="37"/>
        <v>470735940.1275</v>
      </c>
      <c r="L52" s="47">
        <f t="shared" si="37"/>
        <v>16010672</v>
      </c>
      <c r="M52" s="47">
        <f t="shared" si="37"/>
        <v>3002001</v>
      </c>
      <c r="N52" s="47">
        <f t="shared" si="37"/>
        <v>2001334</v>
      </c>
      <c r="O52" s="47">
        <f t="shared" si="37"/>
        <v>21014007</v>
      </c>
      <c r="P52" s="47">
        <f t="shared" si="37"/>
        <v>35023345</v>
      </c>
      <c r="Q52" s="47">
        <f t="shared" si="37"/>
        <v>6004002</v>
      </c>
      <c r="R52" s="47">
        <f t="shared" si="37"/>
        <v>2001334</v>
      </c>
      <c r="S52" s="47">
        <f t="shared" si="37"/>
        <v>43028681</v>
      </c>
      <c r="T52" s="47">
        <f t="shared" si="37"/>
        <v>451104279.1275</v>
      </c>
      <c r="U52" s="47">
        <f t="shared" si="37"/>
        <v>0</v>
      </c>
      <c r="V52" s="47">
        <f>V11+V13+V15+V43</f>
        <v>448835940.1275</v>
      </c>
      <c r="W52" s="47">
        <f t="shared" ref="W52" si="38">W11+W13+W15+W43</f>
        <v>330000000</v>
      </c>
      <c r="X52" s="47">
        <f>X11+X13+X15+X43</f>
        <v>114400000</v>
      </c>
      <c r="Y52" s="47">
        <f>Y11+Y13+Y15+Y43</f>
        <v>46214725.257999994</v>
      </c>
      <c r="Z52" s="47">
        <f>Z11+Z13+Z15+Z43</f>
        <v>3086234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146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52:B52"/>
    <mergeCell ref="N53:T53"/>
    <mergeCell ref="N54:T54"/>
    <mergeCell ref="N55:T55"/>
    <mergeCell ref="W8:W9"/>
    <mergeCell ref="J8:J9"/>
    <mergeCell ref="T8:T9"/>
    <mergeCell ref="X8:X9"/>
    <mergeCell ref="Y8:Y9"/>
    <mergeCell ref="Z8:Z9"/>
    <mergeCell ref="A43:C43"/>
    <mergeCell ref="K8:K9"/>
    <mergeCell ref="L8:O8"/>
    <mergeCell ref="P8:S8"/>
    <mergeCell ref="U8:U9"/>
    <mergeCell ref="V8:V9"/>
    <mergeCell ref="A8:A9"/>
    <mergeCell ref="B8:B9"/>
    <mergeCell ref="C8:C9"/>
    <mergeCell ref="D8:D9"/>
    <mergeCell ref="E8:E9"/>
    <mergeCell ref="F8:F9"/>
    <mergeCell ref="G8:I8"/>
    <mergeCell ref="A5:U5"/>
    <mergeCell ref="A6:U6"/>
    <mergeCell ref="A11:C11"/>
    <mergeCell ref="A15:C15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A31" workbookViewId="0">
      <selection activeCell="Z39" sqref="Z39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1.5703125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145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5" t="s">
        <v>15</v>
      </c>
      <c r="H9" s="75" t="s">
        <v>16</v>
      </c>
      <c r="I9" s="75" t="s">
        <v>17</v>
      </c>
      <c r="J9" s="82"/>
      <c r="K9" s="88"/>
      <c r="L9" s="74" t="s">
        <v>18</v>
      </c>
      <c r="M9" s="74" t="s">
        <v>19</v>
      </c>
      <c r="N9" s="74" t="s">
        <v>20</v>
      </c>
      <c r="O9" s="75" t="s">
        <v>21</v>
      </c>
      <c r="P9" s="74" t="s">
        <v>87</v>
      </c>
      <c r="Q9" s="74" t="s">
        <v>22</v>
      </c>
      <c r="R9" s="74" t="s">
        <v>20</v>
      </c>
      <c r="S9" s="75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/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49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/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SUM(D16:D40)</f>
        <v>145539400</v>
      </c>
      <c r="E15" s="51">
        <f t="shared" ref="E15:Z15" si="3">SUM(E16:E40)</f>
        <v>624</v>
      </c>
      <c r="F15" s="51">
        <f t="shared" si="3"/>
        <v>130691800</v>
      </c>
      <c r="G15" s="51">
        <f t="shared" si="3"/>
        <v>24101600</v>
      </c>
      <c r="H15" s="51">
        <f t="shared" si="3"/>
        <v>99096400</v>
      </c>
      <c r="I15" s="51">
        <f t="shared" si="3"/>
        <v>16790000</v>
      </c>
      <c r="J15" s="51">
        <f t="shared" si="3"/>
        <v>169357340.65199995</v>
      </c>
      <c r="K15" s="51">
        <f t="shared" si="3"/>
        <v>440037140.65200001</v>
      </c>
      <c r="L15" s="51">
        <f t="shared" si="3"/>
        <v>11183472</v>
      </c>
      <c r="M15" s="51">
        <f t="shared" si="3"/>
        <v>2183091</v>
      </c>
      <c r="N15" s="51">
        <f t="shared" si="3"/>
        <v>1397934</v>
      </c>
      <c r="O15" s="51">
        <f t="shared" si="3"/>
        <v>14764497</v>
      </c>
      <c r="P15" s="51">
        <f t="shared" si="3"/>
        <v>24463845</v>
      </c>
      <c r="Q15" s="51">
        <f t="shared" si="3"/>
        <v>4366182</v>
      </c>
      <c r="R15" s="51">
        <f t="shared" si="3"/>
        <v>1397934</v>
      </c>
      <c r="S15" s="51">
        <f t="shared" si="3"/>
        <v>30227961</v>
      </c>
      <c r="T15" s="51">
        <f t="shared" si="3"/>
        <v>425358833.65200001</v>
      </c>
      <c r="U15" s="51">
        <f t="shared" si="3"/>
        <v>0</v>
      </c>
      <c r="V15" s="51">
        <f t="shared" si="3"/>
        <v>423247140.65200001</v>
      </c>
      <c r="W15" s="51">
        <f t="shared" si="3"/>
        <v>253000000</v>
      </c>
      <c r="X15" s="51">
        <f t="shared" si="3"/>
        <v>101200000</v>
      </c>
      <c r="Y15" s="51">
        <f t="shared" si="3"/>
        <v>81185679.067499995</v>
      </c>
      <c r="Z15" s="51">
        <f t="shared" si="3"/>
        <v>5094970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10422827.722999999</v>
      </c>
      <c r="K16" s="36">
        <f>F16+G16+H16+I16+J16</f>
        <v>21135627.722999997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8">P16+Q16+R16</f>
        <v>1348050</v>
      </c>
      <c r="T16" s="41">
        <f>K16-O16</f>
        <v>20477277.722999997</v>
      </c>
      <c r="U16" s="42"/>
      <c r="V16" s="70">
        <f>K16-I16</f>
        <v>20405627.722999997</v>
      </c>
      <c r="W16" s="71">
        <v>11000000</v>
      </c>
      <c r="X16" s="71"/>
      <c r="Y16" s="71">
        <f>MAX(V16-O16-W16-X16,0)</f>
        <v>8747277.7229999974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624728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9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8933852.3340000007</v>
      </c>
      <c r="K17" s="36">
        <f t="shared" ref="K17:K40" si="10">F17+G17+H17+I17+J17</f>
        <v>19121052.333999999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8"/>
        <v>1235046</v>
      </c>
      <c r="T17" s="41">
        <f t="shared" ref="T17:T24" si="14">K17-O17</f>
        <v>18517890.333999999</v>
      </c>
      <c r="U17" s="42"/>
      <c r="V17" s="70">
        <f t="shared" si="1"/>
        <v>18391052.333999999</v>
      </c>
      <c r="W17" s="71">
        <v>11000000</v>
      </c>
      <c r="X17" s="71">
        <f>4400000</f>
        <v>4400000</v>
      </c>
      <c r="Y17" s="71">
        <f t="shared" ref="Y17:Y48" si="15">MAX(V17-O17-W17-X17,0)</f>
        <v>2387890.3339999989</v>
      </c>
      <c r="Z17" s="71">
        <f t="shared" ref="Z17:Z48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119395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9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8933852.3340000007</v>
      </c>
      <c r="K18" s="36">
        <f t="shared" si="10"/>
        <v>19121052.333999999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8"/>
        <v>1235046</v>
      </c>
      <c r="T18" s="41">
        <f t="shared" si="14"/>
        <v>18517890.333999999</v>
      </c>
      <c r="U18" s="42"/>
      <c r="V18" s="70">
        <f t="shared" si="1"/>
        <v>18391052.333999999</v>
      </c>
      <c r="W18" s="71">
        <v>11000000</v>
      </c>
      <c r="X18" s="71">
        <f>4400000</f>
        <v>4400000</v>
      </c>
      <c r="Y18" s="71">
        <f t="shared" si="15"/>
        <v>2387890.3339999989</v>
      </c>
      <c r="Z18" s="71">
        <f t="shared" si="16"/>
        <v>119395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5955901.5559999999</v>
      </c>
      <c r="K19" s="36">
        <f t="shared" si="10"/>
        <v>17314301.556000002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16732034.556000002</v>
      </c>
      <c r="U19" s="42"/>
      <c r="V19" s="70">
        <f t="shared" si="1"/>
        <v>16584301.556000002</v>
      </c>
      <c r="W19" s="71">
        <v>11000000</v>
      </c>
      <c r="X19" s="71"/>
      <c r="Y19" s="71">
        <f t="shared" si="15"/>
        <v>5002034.5560000017</v>
      </c>
      <c r="Z19" s="71">
        <f t="shared" si="16"/>
        <v>250203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8765531.4224999994</v>
      </c>
      <c r="K20" s="36">
        <f t="shared" si="10"/>
        <v>19478331.422499999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18819981.422499999</v>
      </c>
      <c r="U20" s="42"/>
      <c r="V20" s="70">
        <f t="shared" si="1"/>
        <v>18748331.422499999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9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5955901.5559999999</v>
      </c>
      <c r="K21" s="36">
        <f t="shared" si="10"/>
        <v>17514901.556000002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8"/>
        <v>1235390</v>
      </c>
      <c r="T21" s="41">
        <f t="shared" si="14"/>
        <v>16911571.556000002</v>
      </c>
      <c r="U21" s="42"/>
      <c r="V21" s="70">
        <f t="shared" si="1"/>
        <v>16784901.556000002</v>
      </c>
      <c r="W21" s="71">
        <v>11000000</v>
      </c>
      <c r="X21" s="71">
        <f>4400000</f>
        <v>4400000</v>
      </c>
      <c r="Y21" s="71">
        <f t="shared" si="15"/>
        <v>781571.55600000173</v>
      </c>
      <c r="Z21" s="71">
        <f t="shared" si="16"/>
        <v>39079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5955901.5559999999</v>
      </c>
      <c r="K22" s="36">
        <f t="shared" si="10"/>
        <v>17514901.556000002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16911571.556000002</v>
      </c>
      <c r="U22" s="42"/>
      <c r="V22" s="70">
        <f t="shared" si="1"/>
        <v>16784901.556000002</v>
      </c>
      <c r="W22" s="71">
        <v>11000000</v>
      </c>
      <c r="X22" s="71"/>
      <c r="Y22" s="71">
        <f t="shared" si="15"/>
        <v>5181571.5560000017</v>
      </c>
      <c r="Z22" s="71">
        <f t="shared" si="16"/>
        <v>268157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5955901.5559999999</v>
      </c>
      <c r="K23" s="36">
        <f t="shared" si="10"/>
        <v>17514901.556000002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16911571.556000002</v>
      </c>
      <c r="U23" s="42"/>
      <c r="V23" s="70">
        <f t="shared" si="1"/>
        <v>16784901.556000002</v>
      </c>
      <c r="W23" s="71">
        <v>11000000</v>
      </c>
      <c r="X23" s="71"/>
      <c r="Y23" s="71">
        <f t="shared" si="15"/>
        <v>5181571.5560000017</v>
      </c>
      <c r="Z23" s="71">
        <f t="shared" si="16"/>
        <v>268157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9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8933852.3340000007</v>
      </c>
      <c r="K24" s="36">
        <f t="shared" si="10"/>
        <v>19653052.333999999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8"/>
        <v>1349426</v>
      </c>
      <c r="T24" s="41">
        <f t="shared" si="14"/>
        <v>18994030.333999999</v>
      </c>
      <c r="U24" s="42"/>
      <c r="V24" s="70">
        <f t="shared" si="1"/>
        <v>18923052.333999999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9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7012425.1380000003</v>
      </c>
      <c r="K25" s="36">
        <f t="shared" si="10"/>
        <v>18571425.138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8"/>
        <v>1235390</v>
      </c>
      <c r="T25" s="41">
        <f>K25-O25</f>
        <v>17968095.138</v>
      </c>
      <c r="U25" s="42"/>
      <c r="V25" s="70">
        <f t="shared" si="1"/>
        <v>17841425.138</v>
      </c>
      <c r="W25" s="71">
        <v>11000000</v>
      </c>
      <c r="X25" s="71"/>
      <c r="Y25" s="71">
        <f t="shared" si="15"/>
        <v>6238095.1380000003</v>
      </c>
      <c r="Z25" s="71">
        <f t="shared" si="16"/>
        <v>373810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5955901.5559999999</v>
      </c>
      <c r="K26" s="36">
        <f t="shared" si="10"/>
        <v>17514901.556000002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>K26-O26</f>
        <v>16911571.556000002</v>
      </c>
      <c r="U26" s="42"/>
      <c r="V26" s="70">
        <f t="shared" si="1"/>
        <v>16784901.556000002</v>
      </c>
      <c r="W26" s="71">
        <v>11000000</v>
      </c>
      <c r="X26" s="71"/>
      <c r="Y26" s="71">
        <f t="shared" si="15"/>
        <v>5181571.5560000017</v>
      </c>
      <c r="Z26" s="71">
        <f t="shared" si="16"/>
        <v>268157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7012425.1380000003</v>
      </c>
      <c r="K27" s="36">
        <f t="shared" si="10"/>
        <v>18571425.138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ref="T27" si="17">K27-O27</f>
        <v>17968095.138</v>
      </c>
      <c r="U27" s="42"/>
      <c r="V27" s="70">
        <f t="shared" si="1"/>
        <v>17841425.138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/>
      <c r="B28" s="30" t="s">
        <v>91</v>
      </c>
      <c r="C28" s="31" t="s">
        <v>30</v>
      </c>
      <c r="D28" s="32">
        <v>5746000</v>
      </c>
      <c r="E28" s="33"/>
      <c r="F28" s="34"/>
      <c r="G28" s="34"/>
      <c r="H28" s="35"/>
      <c r="I28" s="35"/>
      <c r="J28" s="35"/>
      <c r="K28" s="36">
        <f t="shared" si="10"/>
        <v>0</v>
      </c>
      <c r="L28" s="37"/>
      <c r="M28" s="38">
        <f t="shared" si="5"/>
        <v>86190</v>
      </c>
      <c r="N28" s="39"/>
      <c r="O28" s="40">
        <f t="shared" si="7"/>
        <v>86190</v>
      </c>
      <c r="P28" s="38"/>
      <c r="Q28" s="38">
        <f t="shared" si="12"/>
        <v>172380</v>
      </c>
      <c r="R28" s="38"/>
      <c r="S28" s="40">
        <f t="shared" si="8"/>
        <v>172380</v>
      </c>
      <c r="T28" s="41"/>
      <c r="U28" s="42"/>
      <c r="V28" s="70">
        <f t="shared" si="1"/>
        <v>0</v>
      </c>
      <c r="W28" s="71"/>
      <c r="X28" s="71"/>
      <c r="Y28" s="71"/>
      <c r="Z28" s="71"/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8765531.4224999994</v>
      </c>
      <c r="K29" s="36">
        <f t="shared" si="10"/>
        <v>19484731.422499999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ref="T29:T30" si="18">K29-O29</f>
        <v>18825709.422499999</v>
      </c>
      <c r="U29" s="42"/>
      <c r="V29" s="70">
        <f t="shared" si="1"/>
        <v>18754731.422499999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8765531.4224999994</v>
      </c>
      <c r="K30" s="36">
        <f t="shared" si="10"/>
        <v>19484731.422499999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8"/>
        <v>18825709.422499999</v>
      </c>
      <c r="U30" s="42"/>
      <c r="V30" s="70">
        <f t="shared" si="1"/>
        <v>18754731.422499999</v>
      </c>
      <c r="W30" s="71">
        <v>11000000</v>
      </c>
      <c r="X30" s="71">
        <f>4400000</f>
        <v>4400000</v>
      </c>
      <c r="Y30" s="71">
        <f t="shared" si="15"/>
        <v>2695709.4224999994</v>
      </c>
      <c r="Z30" s="71">
        <f t="shared" si="16"/>
        <v>134785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7012425.1380000003</v>
      </c>
      <c r="K31" s="36">
        <f t="shared" si="10"/>
        <v>18571425.138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>K31-O31</f>
        <v>17968095.138</v>
      </c>
      <c r="U31" s="42"/>
      <c r="V31" s="70">
        <f t="shared" si="1"/>
        <v>17841425.138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18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7012425.1380000003</v>
      </c>
      <c r="K32" s="36">
        <f t="shared" si="10"/>
        <v>18571425.138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>K32-O32</f>
        <v>17968095.138</v>
      </c>
      <c r="U32" s="42"/>
      <c r="V32" s="70">
        <f t="shared" si="1"/>
        <v>17841425.138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19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5955901.5559999999</v>
      </c>
      <c r="K33" s="36">
        <f t="shared" si="10"/>
        <v>17514901.556000002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>K33-O33</f>
        <v>16911571.556000002</v>
      </c>
      <c r="U33" s="42"/>
      <c r="V33" s="70">
        <f t="shared" si="1"/>
        <v>16784901.556000002</v>
      </c>
      <c r="W33" s="71">
        <v>11000000</v>
      </c>
      <c r="X33" s="71"/>
      <c r="Y33" s="71">
        <f t="shared" si="15"/>
        <v>5181571.5560000017</v>
      </c>
      <c r="Z33" s="71">
        <f t="shared" si="16"/>
        <v>268157</v>
      </c>
    </row>
    <row r="34" spans="1:26" s="53" customFormat="1" ht="21.75" customHeight="1" x14ac:dyDescent="0.25">
      <c r="A34" s="29">
        <v>20</v>
      </c>
      <c r="B34" s="30" t="s">
        <v>102</v>
      </c>
      <c r="C34" s="31" t="s">
        <v>118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12271743.9915</v>
      </c>
      <c r="K34" s="36">
        <f t="shared" si="10"/>
        <v>24782343.991499998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>K34-O34</f>
        <v>23949147.991499998</v>
      </c>
      <c r="U34" s="42"/>
      <c r="V34" s="70">
        <f t="shared" si="1"/>
        <v>24052343.991499998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21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5955901.5559999999</v>
      </c>
      <c r="K35" s="36">
        <f t="shared" si="10"/>
        <v>16987101.556000002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ref="T35:T38" si="19">K35-O35</f>
        <v>16295319.556000002</v>
      </c>
      <c r="U35" s="42"/>
      <c r="V35" s="70">
        <f t="shared" si="1"/>
        <v>16257101.556000002</v>
      </c>
      <c r="W35" s="71">
        <v>11000000</v>
      </c>
      <c r="X35" s="71"/>
      <c r="Y35" s="71">
        <f t="shared" si="15"/>
        <v>4565319.5560000017</v>
      </c>
      <c r="Z35" s="71">
        <f t="shared" si="16"/>
        <v>228266</v>
      </c>
    </row>
    <row r="36" spans="1:26" s="53" customFormat="1" ht="21.75" customHeight="1" x14ac:dyDescent="0.25">
      <c r="A36" s="29">
        <v>22</v>
      </c>
      <c r="B36" s="30" t="s">
        <v>111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8933852.3340000007</v>
      </c>
      <c r="K36" s="36">
        <f t="shared" si="10"/>
        <v>19965052.333999999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19"/>
        <v>19273270.333999999</v>
      </c>
      <c r="U36" s="42"/>
      <c r="V36" s="70">
        <f t="shared" si="1"/>
        <v>19235052.333999999</v>
      </c>
      <c r="W36" s="71">
        <v>11000000</v>
      </c>
      <c r="X36" s="71">
        <f>4400000</f>
        <v>4400000</v>
      </c>
      <c r="Y36" s="71">
        <f t="shared" si="15"/>
        <v>3143270.3339999989</v>
      </c>
      <c r="Z36" s="71">
        <f t="shared" si="16"/>
        <v>157164</v>
      </c>
    </row>
    <row r="37" spans="1:26" s="53" customFormat="1" ht="21.75" customHeight="1" x14ac:dyDescent="0.25">
      <c r="A37" s="62">
        <v>23</v>
      </c>
      <c r="B37" s="30" t="s">
        <v>128</v>
      </c>
      <c r="C37" s="31" t="s">
        <v>129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2977950.7779999999</v>
      </c>
      <c r="K37" s="36">
        <f t="shared" si="10"/>
        <v>12675350.778000001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19"/>
        <v>12109694.778000001</v>
      </c>
      <c r="U37" s="42"/>
      <c r="V37" s="70">
        <f t="shared" si="1"/>
        <v>11945350.778000001</v>
      </c>
      <c r="W37" s="71">
        <v>11000000</v>
      </c>
      <c r="X37" s="71"/>
      <c r="Y37" s="71">
        <f t="shared" si="15"/>
        <v>379694.77800000086</v>
      </c>
      <c r="Z37" s="71">
        <f t="shared" si="16"/>
        <v>18985</v>
      </c>
    </row>
    <row r="38" spans="1:26" s="53" customFormat="1" ht="21.75" customHeight="1" x14ac:dyDescent="0.25">
      <c r="A38" s="29">
        <v>24</v>
      </c>
      <c r="B38" s="30" t="s">
        <v>135</v>
      </c>
      <c r="C38" s="31" t="s">
        <v>136</v>
      </c>
      <c r="D38" s="32"/>
      <c r="E38" s="33">
        <v>26</v>
      </c>
      <c r="F38" s="34">
        <v>15000000</v>
      </c>
      <c r="G38" s="34"/>
      <c r="H38" s="35"/>
      <c r="I38" s="35"/>
      <c r="J38" s="35"/>
      <c r="K38" s="36">
        <f t="shared" si="10"/>
        <v>15000000</v>
      </c>
      <c r="L38" s="37"/>
      <c r="M38" s="38"/>
      <c r="N38" s="39"/>
      <c r="O38" s="40"/>
      <c r="P38" s="38"/>
      <c r="Q38" s="38"/>
      <c r="R38" s="38"/>
      <c r="S38" s="40"/>
      <c r="T38" s="41">
        <f t="shared" si="19"/>
        <v>15000000</v>
      </c>
      <c r="U38" s="42"/>
      <c r="V38" s="70">
        <f t="shared" si="1"/>
        <v>15000000</v>
      </c>
      <c r="W38" s="71"/>
      <c r="X38" s="71"/>
      <c r="Y38" s="71">
        <f t="shared" si="15"/>
        <v>15000000</v>
      </c>
      <c r="Z38" s="71">
        <f>Y38*0.1</f>
        <v>1500000</v>
      </c>
    </row>
    <row r="39" spans="1:26" s="53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 t="shared" ref="D39:D40" si="20">F39+G39</f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5955901.5559999999</v>
      </c>
      <c r="K39" s="36">
        <f>F39+G39+H39+I39+J39</f>
        <v>16987101.556000002</v>
      </c>
      <c r="L39" s="37">
        <f t="shared" ref="L39:L40" si="21">D39*8%</f>
        <v>527072</v>
      </c>
      <c r="M39" s="38">
        <f t="shared" ref="M39:M40" si="22">D39*1.5%</f>
        <v>98826</v>
      </c>
      <c r="N39" s="39">
        <f t="shared" ref="N39:N40" si="23">D39*1%</f>
        <v>65884</v>
      </c>
      <c r="O39" s="40">
        <f>L39+M39+N39</f>
        <v>691782</v>
      </c>
      <c r="P39" s="38">
        <f>D39*17.5%</f>
        <v>1152970</v>
      </c>
      <c r="Q39" s="38">
        <f t="shared" ref="Q39:Q40" si="24">D39*3%</f>
        <v>197652</v>
      </c>
      <c r="R39" s="38">
        <f t="shared" ref="R39:R40" si="25">D39*1%</f>
        <v>65884</v>
      </c>
      <c r="S39" s="40">
        <f t="shared" ref="S39:S40" si="26">P39+Q39+R39</f>
        <v>1416506</v>
      </c>
      <c r="T39" s="41">
        <f t="shared" ref="T39:T40" si="27">K39-O39</f>
        <v>16295319.556000002</v>
      </c>
      <c r="U39" s="42"/>
      <c r="V39" s="70">
        <f t="shared" ref="V39:V40" si="28">K39-I39</f>
        <v>16257101.556000002</v>
      </c>
      <c r="W39" s="71">
        <v>11000000</v>
      </c>
      <c r="X39" s="71"/>
      <c r="Y39" s="71">
        <f t="shared" ref="Y39:Y40" si="29">MAX(V39-O39-W39-X39,0)</f>
        <v>4565319.5560000017</v>
      </c>
      <c r="Z39" s="71">
        <f t="shared" ref="Z39:Z40" si="30">ROUND(IF(Y39&gt;80000000,((Y39-80000000)*0.35+18150000),IF(AND(Y39&gt;52000000,Y39&lt;=80000000),((Y39-52000000)*0.3+9750000),IF(AND(Y39&gt;32000000,Y39&lt;=52000000),((Y39-32000000)*0.25+4750000),IF(AND(Y39&gt;18000000,Y39&lt;=32000000),((Y39-18000000)*0.2+1950000),IF(AND(Y39&gt;10000000,Y39&lt;=18000000),((Y39-10000000)*0.15+750000),IF(AND(Y39&gt;5000000,Y39&lt;=10000000),((Y39-5000000)*0.1+250000),(Y39*0.05))))))),0)</f>
        <v>228266</v>
      </c>
    </row>
    <row r="40" spans="1:26" s="53" customFormat="1" ht="21.75" customHeight="1" x14ac:dyDescent="0.25">
      <c r="A40" s="62">
        <v>26</v>
      </c>
      <c r="B40" s="30" t="s">
        <v>149</v>
      </c>
      <c r="C40" s="31" t="s">
        <v>29</v>
      </c>
      <c r="D40" s="32">
        <f t="shared" si="20"/>
        <v>6588400</v>
      </c>
      <c r="E40" s="33">
        <v>26</v>
      </c>
      <c r="F40" s="34">
        <v>5616000</v>
      </c>
      <c r="G40" s="34">
        <v>972400</v>
      </c>
      <c r="H40" s="35">
        <v>3712800</v>
      </c>
      <c r="I40" s="35">
        <v>730000</v>
      </c>
      <c r="J40" s="35">
        <v>5955901.5559999999</v>
      </c>
      <c r="K40" s="36">
        <f t="shared" si="10"/>
        <v>16987101.556000002</v>
      </c>
      <c r="L40" s="37">
        <f t="shared" si="21"/>
        <v>527072</v>
      </c>
      <c r="M40" s="38">
        <f t="shared" si="22"/>
        <v>98826</v>
      </c>
      <c r="N40" s="39">
        <f t="shared" si="23"/>
        <v>65884</v>
      </c>
      <c r="O40" s="40">
        <f>L40+M40+N40</f>
        <v>691782</v>
      </c>
      <c r="P40" s="38">
        <f>D40*17.5%</f>
        <v>1152970</v>
      </c>
      <c r="Q40" s="38">
        <f t="shared" si="24"/>
        <v>197652</v>
      </c>
      <c r="R40" s="38">
        <f t="shared" si="25"/>
        <v>65884</v>
      </c>
      <c r="S40" s="40">
        <f t="shared" si="26"/>
        <v>1416506</v>
      </c>
      <c r="T40" s="41">
        <f t="shared" si="27"/>
        <v>16295319.556000002</v>
      </c>
      <c r="U40" s="42"/>
      <c r="V40" s="70">
        <f t="shared" si="28"/>
        <v>16257101.556000002</v>
      </c>
      <c r="W40" s="71">
        <v>11000000</v>
      </c>
      <c r="X40" s="71"/>
      <c r="Y40" s="71">
        <f t="shared" si="29"/>
        <v>4565319.5560000017</v>
      </c>
      <c r="Z40" s="71">
        <f t="shared" si="30"/>
        <v>228266</v>
      </c>
    </row>
    <row r="41" spans="1:26" s="53" customFormat="1" ht="21.75" customHeight="1" x14ac:dyDescent="0.25">
      <c r="A41" s="62"/>
      <c r="B41" s="63"/>
      <c r="C41" s="45"/>
      <c r="D41" s="32"/>
      <c r="E41" s="33"/>
      <c r="F41" s="34"/>
      <c r="G41" s="34"/>
      <c r="H41" s="35"/>
      <c r="I41" s="35"/>
      <c r="J41" s="35"/>
      <c r="K41" s="36"/>
      <c r="L41" s="37"/>
      <c r="M41" s="38"/>
      <c r="N41" s="39"/>
      <c r="O41" s="40"/>
      <c r="P41" s="38"/>
      <c r="Q41" s="38"/>
      <c r="R41" s="38"/>
      <c r="S41" s="40"/>
      <c r="T41" s="41"/>
      <c r="U41" s="42"/>
      <c r="V41" s="70"/>
      <c r="W41" s="71"/>
      <c r="X41" s="71"/>
      <c r="Y41" s="71"/>
      <c r="Z41" s="71"/>
    </row>
    <row r="42" spans="1:26" s="53" customFormat="1" ht="21.75" customHeight="1" x14ac:dyDescent="0.25">
      <c r="A42" s="62"/>
      <c r="B42" s="63"/>
      <c r="C42" s="45"/>
      <c r="D42" s="32"/>
      <c r="E42" s="33"/>
      <c r="F42" s="34"/>
      <c r="G42" s="34"/>
      <c r="H42" s="35"/>
      <c r="I42" s="35"/>
      <c r="J42" s="35"/>
      <c r="K42" s="36"/>
      <c r="L42" s="37"/>
      <c r="M42" s="38"/>
      <c r="N42" s="39"/>
      <c r="O42" s="40"/>
      <c r="P42" s="38"/>
      <c r="Q42" s="38"/>
      <c r="R42" s="38"/>
      <c r="S42" s="40"/>
      <c r="T42" s="41"/>
      <c r="U42" s="42"/>
      <c r="V42" s="70"/>
      <c r="W42" s="71"/>
      <c r="X42" s="71"/>
      <c r="Y42" s="71"/>
      <c r="Z42" s="71"/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42535600</v>
      </c>
      <c r="E43" s="51">
        <f t="shared" ref="E43:Z43" si="31">SUM(E44:E51)</f>
        <v>156</v>
      </c>
      <c r="F43" s="51">
        <f t="shared" si="31"/>
        <v>29338200</v>
      </c>
      <c r="G43" s="51">
        <f t="shared" si="31"/>
        <v>6900200</v>
      </c>
      <c r="H43" s="51">
        <f t="shared" si="31"/>
        <v>22674600</v>
      </c>
      <c r="I43" s="51">
        <f t="shared" si="31"/>
        <v>4380000</v>
      </c>
      <c r="J43" s="51">
        <f t="shared" si="31"/>
        <v>0</v>
      </c>
      <c r="K43" s="51">
        <f t="shared" si="31"/>
        <v>63293000</v>
      </c>
      <c r="L43" s="51">
        <f t="shared" si="31"/>
        <v>2899072</v>
      </c>
      <c r="M43" s="51">
        <f t="shared" si="31"/>
        <v>638034</v>
      </c>
      <c r="N43" s="51">
        <f t="shared" si="31"/>
        <v>362384</v>
      </c>
      <c r="O43" s="51">
        <f t="shared" si="31"/>
        <v>3899490</v>
      </c>
      <c r="P43" s="51">
        <f t="shared" si="31"/>
        <v>6341720</v>
      </c>
      <c r="Q43" s="51">
        <f t="shared" si="31"/>
        <v>1276068</v>
      </c>
      <c r="R43" s="51">
        <f t="shared" si="31"/>
        <v>362384</v>
      </c>
      <c r="S43" s="51">
        <f t="shared" si="31"/>
        <v>7980172</v>
      </c>
      <c r="T43" s="51">
        <f t="shared" si="31"/>
        <v>59487968</v>
      </c>
      <c r="U43" s="51">
        <f t="shared" si="31"/>
        <v>0</v>
      </c>
      <c r="V43" s="51">
        <f t="shared" si="31"/>
        <v>58913000</v>
      </c>
      <c r="W43" s="51">
        <f t="shared" si="31"/>
        <v>66000000</v>
      </c>
      <c r="X43" s="51">
        <f>SUM(X44:X51)</f>
        <v>4400000</v>
      </c>
      <c r="Y43" s="51">
        <f t="shared" si="31"/>
        <v>0</v>
      </c>
      <c r="Z43" s="51">
        <f t="shared" si="31"/>
        <v>0</v>
      </c>
    </row>
    <row r="44" spans="1:26" s="26" customFormat="1" ht="21.75" customHeight="1" x14ac:dyDescent="0.25">
      <c r="A44" s="29">
        <v>27</v>
      </c>
      <c r="B44" s="30" t="s">
        <v>42</v>
      </c>
      <c r="C44" s="31" t="s">
        <v>41</v>
      </c>
      <c r="D44" s="43">
        <f t="shared" ref="D44:D51" si="32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 t="shared" ref="K44:K51" si="33">F44+G44+H44+I44</f>
        <v>10032400</v>
      </c>
      <c r="L44" s="37">
        <f t="shared" ref="L44:L51" si="34">D44*8%</f>
        <v>443632</v>
      </c>
      <c r="M44" s="38">
        <f t="shared" ref="M44:M51" si="35">D44*1.5%</f>
        <v>83181</v>
      </c>
      <c r="N44" s="39">
        <f t="shared" ref="N44:N51" si="36">D44*1%</f>
        <v>55454</v>
      </c>
      <c r="O44" s="40">
        <f t="shared" ref="O44:O51" si="37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1" si="38">P44+Q44+R44</f>
        <v>1192261</v>
      </c>
      <c r="T44" s="41">
        <f t="shared" ref="T44:T46" si="39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28</v>
      </c>
      <c r="B45" s="30" t="s">
        <v>79</v>
      </c>
      <c r="C45" s="31" t="s">
        <v>40</v>
      </c>
      <c r="D45" s="43">
        <f t="shared" si="32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si="33"/>
        <v>10542400</v>
      </c>
      <c r="L45" s="37">
        <f t="shared" si="34"/>
        <v>484432</v>
      </c>
      <c r="M45" s="38">
        <f t="shared" si="35"/>
        <v>90831</v>
      </c>
      <c r="N45" s="39">
        <f t="shared" si="36"/>
        <v>60554</v>
      </c>
      <c r="O45" s="40">
        <f t="shared" si="37"/>
        <v>635817</v>
      </c>
      <c r="P45" s="38">
        <f t="shared" ref="P45:P48" si="40">D45*17.5%</f>
        <v>1059695</v>
      </c>
      <c r="Q45" s="38">
        <f t="shared" ref="Q45:Q51" si="41">D45*3%</f>
        <v>181662</v>
      </c>
      <c r="R45" s="38">
        <f t="shared" ref="R45:R51" si="42">D45*1%</f>
        <v>60554</v>
      </c>
      <c r="S45" s="40">
        <f t="shared" si="38"/>
        <v>1301911</v>
      </c>
      <c r="T45" s="41">
        <f t="shared" si="39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29</v>
      </c>
      <c r="B46" s="30" t="s">
        <v>81</v>
      </c>
      <c r="C46" s="31" t="s">
        <v>41</v>
      </c>
      <c r="D46" s="43">
        <f t="shared" si="32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33"/>
        <v>10233000</v>
      </c>
      <c r="L46" s="37">
        <f t="shared" si="34"/>
        <v>459680</v>
      </c>
      <c r="M46" s="38">
        <f t="shared" si="35"/>
        <v>86190</v>
      </c>
      <c r="N46" s="39">
        <f t="shared" si="36"/>
        <v>57460</v>
      </c>
      <c r="O46" s="40">
        <f t="shared" si="37"/>
        <v>603330</v>
      </c>
      <c r="P46" s="38">
        <f t="shared" si="40"/>
        <v>1005549.9999999999</v>
      </c>
      <c r="Q46" s="38">
        <f t="shared" si="41"/>
        <v>172380</v>
      </c>
      <c r="R46" s="38">
        <f t="shared" si="42"/>
        <v>57460</v>
      </c>
      <c r="S46" s="40">
        <f t="shared" si="38"/>
        <v>1235390</v>
      </c>
      <c r="T46" s="41">
        <f t="shared" si="39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62">
        <v>30</v>
      </c>
      <c r="B48" s="30" t="s">
        <v>105</v>
      </c>
      <c r="C48" s="31" t="s">
        <v>40</v>
      </c>
      <c r="D48" s="43">
        <f t="shared" si="32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33"/>
        <v>10828400</v>
      </c>
      <c r="L48" s="37">
        <f t="shared" si="34"/>
        <v>503776</v>
      </c>
      <c r="M48" s="38">
        <f t="shared" si="35"/>
        <v>94458</v>
      </c>
      <c r="N48" s="39">
        <f t="shared" si="36"/>
        <v>62972</v>
      </c>
      <c r="O48" s="40">
        <f t="shared" si="37"/>
        <v>661206</v>
      </c>
      <c r="P48" s="38">
        <f t="shared" si="40"/>
        <v>1102010</v>
      </c>
      <c r="Q48" s="38">
        <f t="shared" si="41"/>
        <v>188916</v>
      </c>
      <c r="R48" s="38">
        <f t="shared" si="42"/>
        <v>62972</v>
      </c>
      <c r="S48" s="40">
        <f t="shared" si="38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/>
      <c r="B49" s="30" t="s">
        <v>106</v>
      </c>
      <c r="C49" s="31" t="s">
        <v>40</v>
      </c>
      <c r="D49" s="43">
        <v>6297200</v>
      </c>
      <c r="E49" s="33"/>
      <c r="F49" s="34"/>
      <c r="G49" s="34"/>
      <c r="H49" s="35"/>
      <c r="I49" s="35"/>
      <c r="J49" s="35"/>
      <c r="K49" s="36"/>
      <c r="L49" s="37"/>
      <c r="M49" s="38">
        <f t="shared" si="35"/>
        <v>94458</v>
      </c>
      <c r="N49" s="39"/>
      <c r="O49" s="40">
        <f t="shared" si="37"/>
        <v>94458</v>
      </c>
      <c r="P49" s="38"/>
      <c r="Q49" s="38">
        <f t="shared" si="41"/>
        <v>188916</v>
      </c>
      <c r="R49" s="38"/>
      <c r="S49" s="40">
        <f t="shared" si="38"/>
        <v>188916</v>
      </c>
      <c r="T49" s="41"/>
      <c r="U49" s="42"/>
      <c r="V49" s="70">
        <f t="shared" si="1"/>
        <v>0</v>
      </c>
      <c r="W49" s="71"/>
      <c r="X49" s="71"/>
      <c r="Y49" s="71"/>
      <c r="Z49" s="71"/>
    </row>
    <row r="50" spans="1:26" s="14" customFormat="1" ht="17.25" customHeight="1" x14ac:dyDescent="0.25">
      <c r="A50" s="29">
        <v>31</v>
      </c>
      <c r="B50" s="64" t="s">
        <v>124</v>
      </c>
      <c r="C50" s="31" t="s">
        <v>40</v>
      </c>
      <c r="D50" s="43">
        <f t="shared" si="32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33"/>
        <v>10828400</v>
      </c>
      <c r="L50" s="37">
        <f t="shared" si="34"/>
        <v>503776</v>
      </c>
      <c r="M50" s="38">
        <f t="shared" si="35"/>
        <v>94458</v>
      </c>
      <c r="N50" s="39">
        <f t="shared" si="36"/>
        <v>62972</v>
      </c>
      <c r="O50" s="40">
        <f t="shared" si="37"/>
        <v>661206</v>
      </c>
      <c r="P50" s="38">
        <f>D50*17.5%</f>
        <v>1102010</v>
      </c>
      <c r="Q50" s="38">
        <f t="shared" si="41"/>
        <v>188916</v>
      </c>
      <c r="R50" s="38">
        <f t="shared" si="42"/>
        <v>62972</v>
      </c>
      <c r="S50" s="40">
        <f t="shared" si="38"/>
        <v>1353898</v>
      </c>
      <c r="T50" s="41">
        <f>K50-O50</f>
        <v>10167194</v>
      </c>
      <c r="U50" s="42"/>
      <c r="V50" s="70">
        <f t="shared" ref="V50:V51" si="43">K50-I50</f>
        <v>10098400</v>
      </c>
      <c r="W50" s="71">
        <v>11000000</v>
      </c>
      <c r="X50" s="71"/>
      <c r="Y50" s="71">
        <f t="shared" ref="Y50:Y51" si="44">MAX(V50-O50-W50-X50,0)</f>
        <v>0</v>
      </c>
      <c r="Z50" s="71">
        <f t="shared" ref="Z50:Z51" si="45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32</v>
      </c>
      <c r="B51" s="30" t="s">
        <v>130</v>
      </c>
      <c r="C51" s="31" t="s">
        <v>40</v>
      </c>
      <c r="D51" s="43">
        <f t="shared" si="32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33"/>
        <v>10828400</v>
      </c>
      <c r="L51" s="37">
        <f t="shared" si="34"/>
        <v>503776</v>
      </c>
      <c r="M51" s="38">
        <f t="shared" si="35"/>
        <v>94458</v>
      </c>
      <c r="N51" s="39">
        <f t="shared" si="36"/>
        <v>62972</v>
      </c>
      <c r="O51" s="40">
        <f t="shared" si="37"/>
        <v>661206</v>
      </c>
      <c r="P51" s="38">
        <f>D51*17.5%</f>
        <v>1102010</v>
      </c>
      <c r="Q51" s="38">
        <f t="shared" si="41"/>
        <v>188916</v>
      </c>
      <c r="R51" s="38">
        <f t="shared" si="42"/>
        <v>62972</v>
      </c>
      <c r="S51" s="40">
        <f t="shared" si="38"/>
        <v>1353898</v>
      </c>
      <c r="T51" s="41">
        <f>K51-O51</f>
        <v>10167194</v>
      </c>
      <c r="U51" s="42"/>
      <c r="V51" s="70">
        <f t="shared" si="43"/>
        <v>10098400</v>
      </c>
      <c r="W51" s="71">
        <v>11000000</v>
      </c>
      <c r="X51" s="71"/>
      <c r="Y51" s="71">
        <f t="shared" si="44"/>
        <v>0</v>
      </c>
      <c r="Z51" s="71">
        <f t="shared" si="45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>D11+D13+D15+D43</f>
        <v>213310200</v>
      </c>
      <c r="E52" s="47">
        <f t="shared" ref="E52:U52" si="46">E11+E13+E15+E43</f>
        <v>832</v>
      </c>
      <c r="F52" s="47">
        <f t="shared" si="46"/>
        <v>180622000</v>
      </c>
      <c r="G52" s="47">
        <f t="shared" si="46"/>
        <v>35645000</v>
      </c>
      <c r="H52" s="47">
        <f t="shared" si="46"/>
        <v>125704800</v>
      </c>
      <c r="I52" s="47">
        <f t="shared" si="46"/>
        <v>21900000</v>
      </c>
      <c r="J52" s="47">
        <f t="shared" si="46"/>
        <v>169357340.65199995</v>
      </c>
      <c r="K52" s="47">
        <f t="shared" si="46"/>
        <v>520063940.65200001</v>
      </c>
      <c r="L52" s="47">
        <f t="shared" si="46"/>
        <v>16101360</v>
      </c>
      <c r="M52" s="47">
        <f t="shared" si="46"/>
        <v>3199653</v>
      </c>
      <c r="N52" s="47">
        <f t="shared" si="46"/>
        <v>2012670</v>
      </c>
      <c r="O52" s="47">
        <f t="shared" si="46"/>
        <v>21313683</v>
      </c>
      <c r="P52" s="47">
        <f t="shared" si="46"/>
        <v>35221725</v>
      </c>
      <c r="Q52" s="47">
        <f t="shared" si="46"/>
        <v>6399306</v>
      </c>
      <c r="R52" s="47">
        <f t="shared" si="46"/>
        <v>2012670</v>
      </c>
      <c r="S52" s="47">
        <f t="shared" si="46"/>
        <v>43633701</v>
      </c>
      <c r="T52" s="47">
        <f t="shared" si="46"/>
        <v>500313251.65200001</v>
      </c>
      <c r="U52" s="47">
        <f t="shared" si="46"/>
        <v>0</v>
      </c>
      <c r="V52" s="47">
        <f>V11+V13+V15+V43</f>
        <v>498163940.65200001</v>
      </c>
      <c r="W52" s="47">
        <f t="shared" ref="W52" si="47">W11+W13+W15+W43</f>
        <v>330000000</v>
      </c>
      <c r="X52" s="47">
        <f>X11+X13+X15+X43</f>
        <v>105600000</v>
      </c>
      <c r="Y52" s="47">
        <f>Y11+Y13+Y15+Y43</f>
        <v>84922129.067499995</v>
      </c>
      <c r="Z52" s="47">
        <f>Z11+Z13+Z15+Z43</f>
        <v>5281793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147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52:B52"/>
    <mergeCell ref="N53:T53"/>
    <mergeCell ref="N54:T54"/>
    <mergeCell ref="N55:T55"/>
    <mergeCell ref="W8:W9"/>
    <mergeCell ref="J8:J9"/>
    <mergeCell ref="T8:T9"/>
    <mergeCell ref="X8:X9"/>
    <mergeCell ref="Y8:Y9"/>
    <mergeCell ref="Z8:Z9"/>
    <mergeCell ref="A43:C43"/>
    <mergeCell ref="K8:K9"/>
    <mergeCell ref="L8:O8"/>
    <mergeCell ref="P8:S8"/>
    <mergeCell ref="U8:U9"/>
    <mergeCell ref="V8:V9"/>
    <mergeCell ref="A8:A9"/>
    <mergeCell ref="B8:B9"/>
    <mergeCell ref="C8:C9"/>
    <mergeCell ref="D8:D9"/>
    <mergeCell ref="E8:E9"/>
    <mergeCell ref="F8:F9"/>
    <mergeCell ref="G8:I8"/>
    <mergeCell ref="A5:U5"/>
    <mergeCell ref="A6:U6"/>
    <mergeCell ref="A11:C11"/>
    <mergeCell ref="A13:C13"/>
    <mergeCell ref="A15:C15"/>
  </mergeCells>
  <hyperlinks>
    <hyperlink ref="B12" r:id="rId1" display="javascript:submitform('8460891335')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opLeftCell="C35" workbookViewId="0">
      <selection activeCell="L38" sqref="L38"/>
    </sheetView>
  </sheetViews>
  <sheetFormatPr defaultColWidth="9.140625" defaultRowHeight="15" x14ac:dyDescent="0.25"/>
  <cols>
    <col min="1" max="1" width="4.28515625" style="13" customWidth="1"/>
    <col min="2" max="2" width="22.7109375" style="13" customWidth="1"/>
    <col min="3" max="3" width="7.42578125" style="13" bestFit="1" customWidth="1"/>
    <col min="4" max="4" width="12" style="13" customWidth="1"/>
    <col min="5" max="5" width="6" style="13" customWidth="1"/>
    <col min="6" max="6" width="11.42578125" style="13" customWidth="1"/>
    <col min="7" max="7" width="11" style="13" customWidth="1"/>
    <col min="8" max="8" width="11.7109375" style="13" bestFit="1" customWidth="1"/>
    <col min="9" max="9" width="10.7109375" style="13" bestFit="1" customWidth="1"/>
    <col min="10" max="10" width="12" style="13" customWidth="1"/>
    <col min="11" max="11" width="11.7109375" style="13" bestFit="1" customWidth="1"/>
    <col min="12" max="12" width="11" style="13" customWidth="1"/>
    <col min="13" max="13" width="9.7109375" style="13" bestFit="1" customWidth="1"/>
    <col min="14" max="14" width="10.85546875" style="13" customWidth="1"/>
    <col min="15" max="15" width="10.7109375" style="13" bestFit="1" customWidth="1"/>
    <col min="16" max="16" width="10.7109375" style="13" customWidth="1"/>
    <col min="17" max="17" width="9.85546875" style="13" customWidth="1"/>
    <col min="18" max="18" width="9.5703125" style="13" customWidth="1"/>
    <col min="19" max="19" width="10.7109375" style="13" customWidth="1"/>
    <col min="20" max="20" width="12" style="13" customWidth="1"/>
    <col min="21" max="21" width="6" style="13" bestFit="1" customWidth="1"/>
    <col min="22" max="23" width="11.7109375" style="13" bestFit="1" customWidth="1"/>
    <col min="24" max="24" width="11.7109375" style="13" customWidth="1"/>
    <col min="25" max="26" width="11.7109375" style="13" bestFit="1" customWidth="1"/>
    <col min="27" max="16384" width="9.140625" style="13"/>
  </cols>
  <sheetData>
    <row r="1" spans="1:26" ht="18.75" x14ac:dyDescent="0.25">
      <c r="A1" s="1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6" ht="15.75" x14ac:dyDescent="0.25">
      <c r="A2" s="2" t="s">
        <v>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6" ht="15.75" x14ac:dyDescent="0.25">
      <c r="A3" s="2" t="s">
        <v>85</v>
      </c>
      <c r="B3" s="12"/>
      <c r="C3" s="12"/>
      <c r="D3" s="12"/>
      <c r="E3" s="12"/>
      <c r="F3" s="12"/>
      <c r="G3" s="12"/>
      <c r="H3" s="12"/>
      <c r="I3" s="12"/>
      <c r="J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6" ht="18.75" x14ac:dyDescent="0.25">
      <c r="A4" s="3"/>
      <c r="B4" s="12"/>
      <c r="C4" s="12"/>
      <c r="D4" s="12"/>
      <c r="E4" s="12"/>
      <c r="F4" s="12"/>
      <c r="G4" s="12"/>
      <c r="H4" s="12"/>
      <c r="I4" s="12"/>
      <c r="J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6" ht="20.25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6" ht="18.75" x14ac:dyDescent="0.25">
      <c r="A6" s="86" t="s">
        <v>150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6" x14ac:dyDescent="0.25">
      <c r="A7" s="12"/>
      <c r="B7" s="12"/>
      <c r="C7" s="12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2"/>
      <c r="U7" s="12"/>
    </row>
    <row r="8" spans="1:26" s="14" customFormat="1" ht="12.75" customHeight="1" x14ac:dyDescent="0.25">
      <c r="A8" s="87" t="s">
        <v>3</v>
      </c>
      <c r="B8" s="87" t="s">
        <v>4</v>
      </c>
      <c r="C8" s="87" t="s">
        <v>5</v>
      </c>
      <c r="D8" s="81" t="s">
        <v>6</v>
      </c>
      <c r="E8" s="81" t="s">
        <v>7</v>
      </c>
      <c r="F8" s="81" t="s">
        <v>8</v>
      </c>
      <c r="G8" s="89" t="s">
        <v>9</v>
      </c>
      <c r="H8" s="90"/>
      <c r="I8" s="91"/>
      <c r="J8" s="81" t="s">
        <v>125</v>
      </c>
      <c r="K8" s="81" t="s">
        <v>10</v>
      </c>
      <c r="L8" s="87" t="s">
        <v>11</v>
      </c>
      <c r="M8" s="87"/>
      <c r="N8" s="87"/>
      <c r="O8" s="87"/>
      <c r="P8" s="87" t="s">
        <v>12</v>
      </c>
      <c r="Q8" s="87"/>
      <c r="R8" s="87"/>
      <c r="S8" s="87"/>
      <c r="T8" s="87" t="s">
        <v>13</v>
      </c>
      <c r="U8" s="101" t="s">
        <v>14</v>
      </c>
      <c r="V8" s="83" t="s">
        <v>113</v>
      </c>
      <c r="W8" s="101" t="s">
        <v>120</v>
      </c>
      <c r="X8" s="101" t="s">
        <v>123</v>
      </c>
      <c r="Y8" s="101" t="s">
        <v>121</v>
      </c>
      <c r="Z8" s="101" t="s">
        <v>122</v>
      </c>
    </row>
    <row r="9" spans="1:26" s="14" customFormat="1" ht="38.25" x14ac:dyDescent="0.25">
      <c r="A9" s="87"/>
      <c r="B9" s="87"/>
      <c r="C9" s="87"/>
      <c r="D9" s="88"/>
      <c r="E9" s="88"/>
      <c r="F9" s="88"/>
      <c r="G9" s="77" t="s">
        <v>15</v>
      </c>
      <c r="H9" s="77" t="s">
        <v>16</v>
      </c>
      <c r="I9" s="77" t="s">
        <v>17</v>
      </c>
      <c r="J9" s="82"/>
      <c r="K9" s="88"/>
      <c r="L9" s="76" t="s">
        <v>18</v>
      </c>
      <c r="M9" s="76" t="s">
        <v>19</v>
      </c>
      <c r="N9" s="76" t="s">
        <v>20</v>
      </c>
      <c r="O9" s="77" t="s">
        <v>21</v>
      </c>
      <c r="P9" s="76" t="s">
        <v>87</v>
      </c>
      <c r="Q9" s="76" t="s">
        <v>22</v>
      </c>
      <c r="R9" s="76" t="s">
        <v>20</v>
      </c>
      <c r="S9" s="77" t="s">
        <v>21</v>
      </c>
      <c r="T9" s="87"/>
      <c r="U9" s="102"/>
      <c r="V9" s="83"/>
      <c r="W9" s="102"/>
      <c r="X9" s="103"/>
      <c r="Y9" s="102"/>
      <c r="Z9" s="102"/>
    </row>
    <row r="10" spans="1:26" s="14" customFormat="1" ht="25.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/>
      <c r="K10" s="5" t="s">
        <v>54</v>
      </c>
      <c r="L10" s="5" t="s">
        <v>55</v>
      </c>
      <c r="M10" s="5" t="s">
        <v>56</v>
      </c>
      <c r="N10" s="5" t="s">
        <v>57</v>
      </c>
      <c r="O10" s="5" t="s">
        <v>58</v>
      </c>
      <c r="P10" s="5" t="s">
        <v>59</v>
      </c>
      <c r="Q10" s="5" t="s">
        <v>60</v>
      </c>
      <c r="R10" s="5" t="s">
        <v>108</v>
      </c>
      <c r="S10" s="5" t="s">
        <v>61</v>
      </c>
      <c r="T10" s="5" t="s">
        <v>62</v>
      </c>
      <c r="U10" s="6">
        <v>20</v>
      </c>
      <c r="V10" s="6">
        <v>20</v>
      </c>
      <c r="W10" s="6">
        <v>20</v>
      </c>
      <c r="X10" s="6"/>
      <c r="Y10" s="6">
        <v>20</v>
      </c>
      <c r="Z10" s="6">
        <v>20</v>
      </c>
    </row>
    <row r="11" spans="1:26" s="55" customFormat="1" ht="21.75" customHeight="1" x14ac:dyDescent="0.25">
      <c r="A11" s="98" t="s">
        <v>96</v>
      </c>
      <c r="B11" s="99"/>
      <c r="C11" s="100"/>
      <c r="D11" s="51">
        <f>SUM(D12:D12)</f>
        <v>13165200</v>
      </c>
      <c r="E11" s="51">
        <f t="shared" ref="E11:Z11" si="0">SUM(E12:E12)</f>
        <v>26</v>
      </c>
      <c r="F11" s="51">
        <f t="shared" si="0"/>
        <v>10764000</v>
      </c>
      <c r="G11" s="51">
        <f t="shared" si="0"/>
        <v>2401200</v>
      </c>
      <c r="H11" s="51">
        <f t="shared" si="0"/>
        <v>0</v>
      </c>
      <c r="I11" s="51">
        <f t="shared" si="0"/>
        <v>0</v>
      </c>
      <c r="J11" s="51"/>
      <c r="K11" s="51">
        <f t="shared" si="0"/>
        <v>0</v>
      </c>
      <c r="L11" s="51">
        <f t="shared" si="0"/>
        <v>1053216</v>
      </c>
      <c r="M11" s="51">
        <f t="shared" si="0"/>
        <v>197478</v>
      </c>
      <c r="N11" s="51">
        <f t="shared" si="0"/>
        <v>131652</v>
      </c>
      <c r="O11" s="51">
        <f t="shared" si="0"/>
        <v>1382346</v>
      </c>
      <c r="P11" s="51">
        <f t="shared" si="0"/>
        <v>2303910</v>
      </c>
      <c r="Q11" s="51">
        <f t="shared" si="0"/>
        <v>394956</v>
      </c>
      <c r="R11" s="51">
        <f t="shared" si="0"/>
        <v>131652</v>
      </c>
      <c r="S11" s="51">
        <f t="shared" si="0"/>
        <v>2830518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</row>
    <row r="12" spans="1:26" s="26" customFormat="1" ht="21.75" customHeight="1" x14ac:dyDescent="0.25">
      <c r="A12" s="29">
        <v>1</v>
      </c>
      <c r="B12" s="30" t="s">
        <v>26</v>
      </c>
      <c r="C12" s="31" t="s">
        <v>27</v>
      </c>
      <c r="D12" s="32">
        <f>F12+G12</f>
        <v>13165200</v>
      </c>
      <c r="E12" s="33">
        <v>26</v>
      </c>
      <c r="F12" s="34">
        <v>10764000</v>
      </c>
      <c r="G12" s="34">
        <v>2401200</v>
      </c>
      <c r="H12" s="35"/>
      <c r="I12" s="35"/>
      <c r="J12" s="35"/>
      <c r="K12" s="36"/>
      <c r="L12" s="37">
        <f>D12*8%</f>
        <v>1053216</v>
      </c>
      <c r="M12" s="38">
        <f>D12*1.5%</f>
        <v>197478</v>
      </c>
      <c r="N12" s="39">
        <f>D12*1%</f>
        <v>131652</v>
      </c>
      <c r="O12" s="40">
        <f>L12+M12+N12</f>
        <v>1382346</v>
      </c>
      <c r="P12" s="38">
        <f>D12*17.5%</f>
        <v>2303910</v>
      </c>
      <c r="Q12" s="38">
        <f>D12*3%</f>
        <v>394956</v>
      </c>
      <c r="R12" s="38">
        <f>D12*1%</f>
        <v>131652</v>
      </c>
      <c r="S12" s="40">
        <f>P12+Q12+R12</f>
        <v>2830518</v>
      </c>
      <c r="T12" s="41"/>
      <c r="U12" s="42"/>
      <c r="V12" s="70">
        <f t="shared" ref="V12:V51" si="1">K12-I12</f>
        <v>0</v>
      </c>
      <c r="W12" s="71"/>
      <c r="X12" s="71"/>
      <c r="Y12" s="71"/>
      <c r="Z12" s="71"/>
    </row>
    <row r="13" spans="1:26" s="55" customFormat="1" ht="21.75" customHeight="1" x14ac:dyDescent="0.25">
      <c r="A13" s="98" t="s">
        <v>23</v>
      </c>
      <c r="B13" s="99"/>
      <c r="C13" s="100"/>
      <c r="D13" s="51">
        <f>SUM(D14:D14)</f>
        <v>12070000</v>
      </c>
      <c r="E13" s="51">
        <f t="shared" ref="E13:Z13" si="2">SUM(E14:E14)</f>
        <v>26</v>
      </c>
      <c r="F13" s="51">
        <f t="shared" si="2"/>
        <v>9828000</v>
      </c>
      <c r="G13" s="51">
        <f t="shared" si="2"/>
        <v>2242000</v>
      </c>
      <c r="H13" s="51">
        <f t="shared" si="2"/>
        <v>3933800</v>
      </c>
      <c r="I13" s="51">
        <f t="shared" si="2"/>
        <v>730000</v>
      </c>
      <c r="J13" s="51"/>
      <c r="K13" s="51">
        <f t="shared" si="2"/>
        <v>16733800</v>
      </c>
      <c r="L13" s="51">
        <f t="shared" si="2"/>
        <v>965600</v>
      </c>
      <c r="M13" s="51">
        <f t="shared" si="2"/>
        <v>181050</v>
      </c>
      <c r="N13" s="51">
        <f t="shared" si="2"/>
        <v>120700</v>
      </c>
      <c r="O13" s="51">
        <f t="shared" si="2"/>
        <v>1267350</v>
      </c>
      <c r="P13" s="51">
        <f t="shared" si="2"/>
        <v>2112250</v>
      </c>
      <c r="Q13" s="51">
        <f t="shared" si="2"/>
        <v>362100</v>
      </c>
      <c r="R13" s="51">
        <f t="shared" si="2"/>
        <v>120700</v>
      </c>
      <c r="S13" s="51">
        <f t="shared" si="2"/>
        <v>2595050</v>
      </c>
      <c r="T13" s="51">
        <f t="shared" si="2"/>
        <v>15466450</v>
      </c>
      <c r="U13" s="51">
        <f t="shared" si="2"/>
        <v>0</v>
      </c>
      <c r="V13" s="51">
        <f t="shared" si="2"/>
        <v>16003800</v>
      </c>
      <c r="W13" s="51">
        <f t="shared" si="2"/>
        <v>11000000</v>
      </c>
      <c r="X13" s="51">
        <f t="shared" si="2"/>
        <v>0</v>
      </c>
      <c r="Y13" s="51">
        <f t="shared" si="2"/>
        <v>3736450</v>
      </c>
      <c r="Z13" s="51">
        <f t="shared" si="2"/>
        <v>186823</v>
      </c>
    </row>
    <row r="14" spans="1:26" s="26" customFormat="1" ht="21.75" customHeight="1" x14ac:dyDescent="0.25">
      <c r="A14" s="29">
        <v>2</v>
      </c>
      <c r="B14" s="30" t="s">
        <v>24</v>
      </c>
      <c r="C14" s="31" t="s">
        <v>25</v>
      </c>
      <c r="D14" s="32">
        <f>F14+G14</f>
        <v>12070000</v>
      </c>
      <c r="E14" s="33">
        <v>26</v>
      </c>
      <c r="F14" s="34">
        <v>9828000</v>
      </c>
      <c r="G14" s="34">
        <v>2242000</v>
      </c>
      <c r="H14" s="35">
        <v>3933800</v>
      </c>
      <c r="I14" s="35">
        <v>730000</v>
      </c>
      <c r="J14" s="35"/>
      <c r="K14" s="36">
        <f>F14+G14+H14+I14</f>
        <v>16733800</v>
      </c>
      <c r="L14" s="37">
        <f>D14*8%</f>
        <v>965600</v>
      </c>
      <c r="M14" s="38">
        <f>D14*1.5%</f>
        <v>181050</v>
      </c>
      <c r="N14" s="39">
        <f>D14*1%</f>
        <v>120700</v>
      </c>
      <c r="O14" s="40">
        <f>L14+M14+N14</f>
        <v>1267350</v>
      </c>
      <c r="P14" s="38">
        <f>D14*17.5%</f>
        <v>2112250</v>
      </c>
      <c r="Q14" s="38">
        <f>D14*3%</f>
        <v>362100</v>
      </c>
      <c r="R14" s="38">
        <f>D14*1%</f>
        <v>120700</v>
      </c>
      <c r="S14" s="40">
        <f>P14+Q14+R14</f>
        <v>2595050</v>
      </c>
      <c r="T14" s="41">
        <f>K14-O14</f>
        <v>15466450</v>
      </c>
      <c r="U14" s="42"/>
      <c r="V14" s="70">
        <f>K14-I14</f>
        <v>16003800</v>
      </c>
      <c r="W14" s="71">
        <v>11000000</v>
      </c>
      <c r="X14" s="71"/>
      <c r="Y14" s="71">
        <f>MAX(V14-O14-W14-X14,0)</f>
        <v>3736450</v>
      </c>
      <c r="Z14" s="71">
        <f>ROUND(IF(Y14&gt;80000000,((Y14-80000000)*0.35+18150000),IF(AND(Y14&gt;52000000,Y14&lt;=80000000),((Y14-52000000)*0.3+9750000),IF(AND(Y14&gt;32000000,Y14&lt;=52000000),((Y14-32000000)*0.25+4750000),IF(AND(Y14&gt;18000000,Y14&lt;=32000000),((Y14-18000000)*0.2+1950000),IF(AND(Y14&gt;10000000,Y14&lt;=18000000),((Y14-10000000)*0.15+750000),IF(AND(Y14&gt;5000000,Y14&lt;=10000000),((Y14-5000000)*0.1+250000),(Y14*0.05))))))),0)</f>
        <v>186823</v>
      </c>
    </row>
    <row r="15" spans="1:26" s="53" customFormat="1" ht="21.75" customHeight="1" x14ac:dyDescent="0.25">
      <c r="A15" s="92" t="s">
        <v>28</v>
      </c>
      <c r="B15" s="93"/>
      <c r="C15" s="94"/>
      <c r="D15" s="51">
        <f>SUM(D16:D42)</f>
        <v>145539400</v>
      </c>
      <c r="E15" s="51">
        <f t="shared" ref="E15:Y15" si="3">SUM(E16:E42)</f>
        <v>650</v>
      </c>
      <c r="F15" s="51">
        <f t="shared" si="3"/>
        <v>155465400</v>
      </c>
      <c r="G15" s="51">
        <f t="shared" si="3"/>
        <v>25074000</v>
      </c>
      <c r="H15" s="51">
        <f t="shared" si="3"/>
        <v>104179400</v>
      </c>
      <c r="I15" s="51">
        <f t="shared" si="3"/>
        <v>17520000</v>
      </c>
      <c r="J15" s="51">
        <f t="shared" si="3"/>
        <v>134446071.81</v>
      </c>
      <c r="K15" s="51">
        <f>SUM(K16:K42)</f>
        <v>436684871.81</v>
      </c>
      <c r="L15" s="51">
        <f t="shared" si="3"/>
        <v>11643152</v>
      </c>
      <c r="M15" s="51">
        <f t="shared" si="3"/>
        <v>2183091</v>
      </c>
      <c r="N15" s="51">
        <f t="shared" si="3"/>
        <v>1455394</v>
      </c>
      <c r="O15" s="51">
        <f t="shared" si="3"/>
        <v>15281637</v>
      </c>
      <c r="P15" s="51">
        <f t="shared" si="3"/>
        <v>25469395</v>
      </c>
      <c r="Q15" s="51">
        <f t="shared" si="3"/>
        <v>4366182</v>
      </c>
      <c r="R15" s="51">
        <f t="shared" si="3"/>
        <v>1455394</v>
      </c>
      <c r="S15" s="51">
        <f t="shared" si="3"/>
        <v>31290971</v>
      </c>
      <c r="T15" s="51">
        <f t="shared" si="3"/>
        <v>421403234.81</v>
      </c>
      <c r="U15" s="51">
        <f t="shared" si="3"/>
        <v>0</v>
      </c>
      <c r="V15" s="51">
        <f>SUM(V16:V42)</f>
        <v>419164871.81</v>
      </c>
      <c r="W15" s="51">
        <f t="shared" si="3"/>
        <v>264000000</v>
      </c>
      <c r="X15" s="51">
        <f t="shared" si="3"/>
        <v>101200000</v>
      </c>
      <c r="Y15" s="51">
        <f t="shared" si="3"/>
        <v>75586921.814999998</v>
      </c>
      <c r="Z15" s="51">
        <f>SUM(Z16:Z42)</f>
        <v>5618162</v>
      </c>
    </row>
    <row r="16" spans="1:26" s="26" customFormat="1" ht="21.75" customHeight="1" x14ac:dyDescent="0.25">
      <c r="A16" s="29">
        <v>3</v>
      </c>
      <c r="B16" s="30" t="s">
        <v>34</v>
      </c>
      <c r="C16" s="31" t="s">
        <v>29</v>
      </c>
      <c r="D16" s="32">
        <f>F16+G16</f>
        <v>6270000</v>
      </c>
      <c r="E16" s="33">
        <v>26</v>
      </c>
      <c r="F16" s="34">
        <v>5016000</v>
      </c>
      <c r="G16" s="34">
        <v>1254000</v>
      </c>
      <c r="H16" s="35">
        <v>3712800</v>
      </c>
      <c r="I16" s="35">
        <v>730000</v>
      </c>
      <c r="J16" s="35">
        <v>6542442.9000000004</v>
      </c>
      <c r="K16" s="36">
        <f>F16+G16+H16+I16+J16</f>
        <v>17255242.899999999</v>
      </c>
      <c r="L16" s="37">
        <f t="shared" ref="L16:L37" si="4">D16*8%</f>
        <v>501600</v>
      </c>
      <c r="M16" s="38">
        <f t="shared" ref="M16:M37" si="5">D16*1.5%</f>
        <v>94050</v>
      </c>
      <c r="N16" s="39">
        <f t="shared" ref="N16:N37" si="6">D16*1%</f>
        <v>62700</v>
      </c>
      <c r="O16" s="40">
        <f t="shared" ref="O16:O34" si="7">L16+M16+N16</f>
        <v>658350</v>
      </c>
      <c r="P16" s="38">
        <f>D16*17.5%</f>
        <v>1097250</v>
      </c>
      <c r="Q16" s="38">
        <f>D16*3%</f>
        <v>188100</v>
      </c>
      <c r="R16" s="38">
        <f>D16*1%</f>
        <v>62700</v>
      </c>
      <c r="S16" s="40">
        <f t="shared" ref="S16:S37" si="8">P16+Q16+R16</f>
        <v>1348050</v>
      </c>
      <c r="T16" s="41">
        <f>K16-O16</f>
        <v>16596892.899999999</v>
      </c>
      <c r="U16" s="42"/>
      <c r="V16" s="70">
        <f>K16-I16</f>
        <v>16525242.899999999</v>
      </c>
      <c r="W16" s="71">
        <v>11000000</v>
      </c>
      <c r="X16" s="71"/>
      <c r="Y16" s="71">
        <f>MAX(V16-O16-W16-X16,0)</f>
        <v>4866892.8999999985</v>
      </c>
      <c r="Z16" s="71">
        <f>ROUND(IF(Y16&gt;80000000,((Y16-80000000)*0.35+18150000),IF(AND(Y16&gt;52000000,Y16&lt;=80000000),((Y16-52000000)*0.3+9750000),IF(AND(Y16&gt;32000000,Y16&lt;=52000000),((Y16-32000000)*0.25+4750000),IF(AND(Y16&gt;18000000,Y16&lt;=32000000),((Y16-18000000)*0.2+1950000),IF(AND(Y16&gt;10000000,Y16&lt;=18000000),((Y16-10000000)*0.15+750000),IF(AND(Y16&gt;5000000,Y16&lt;=10000000),((Y16-5000000)*0.1+250000),(Y16*0.05))))))),0)</f>
        <v>243345</v>
      </c>
    </row>
    <row r="17" spans="1:26" s="26" customFormat="1" ht="21.75" customHeight="1" x14ac:dyDescent="0.25">
      <c r="A17" s="29">
        <v>4</v>
      </c>
      <c r="B17" s="30" t="s">
        <v>31</v>
      </c>
      <c r="C17" s="31" t="s">
        <v>29</v>
      </c>
      <c r="D17" s="32">
        <f t="shared" ref="D17:D37" si="9">F17+G17</f>
        <v>5744400</v>
      </c>
      <c r="E17" s="33">
        <v>26</v>
      </c>
      <c r="F17" s="34">
        <v>4298400</v>
      </c>
      <c r="G17" s="34">
        <v>1446000</v>
      </c>
      <c r="H17" s="35">
        <v>3712800</v>
      </c>
      <c r="I17" s="35">
        <v>730000</v>
      </c>
      <c r="J17" s="35">
        <v>5607808.2000000002</v>
      </c>
      <c r="K17" s="36">
        <f t="shared" ref="K17:K27" si="10">F17+G17+H17+I17+J17</f>
        <v>15795008.199999999</v>
      </c>
      <c r="L17" s="37">
        <f t="shared" si="4"/>
        <v>459552</v>
      </c>
      <c r="M17" s="38">
        <f t="shared" si="5"/>
        <v>86166</v>
      </c>
      <c r="N17" s="39">
        <f t="shared" si="6"/>
        <v>57444</v>
      </c>
      <c r="O17" s="40">
        <f t="shared" si="7"/>
        <v>603162</v>
      </c>
      <c r="P17" s="38">
        <f t="shared" ref="P17:P34" si="11">D17*17.5%</f>
        <v>1005269.9999999999</v>
      </c>
      <c r="Q17" s="38">
        <f t="shared" ref="Q17:Q37" si="12">D17*3%</f>
        <v>172332</v>
      </c>
      <c r="R17" s="38">
        <f t="shared" ref="R17:R37" si="13">D17*1%</f>
        <v>57444</v>
      </c>
      <c r="S17" s="40">
        <f t="shared" si="8"/>
        <v>1235046</v>
      </c>
      <c r="T17" s="41">
        <f t="shared" ref="T17:T24" si="14">K17-O17</f>
        <v>15191846.199999999</v>
      </c>
      <c r="U17" s="42"/>
      <c r="V17" s="70">
        <f t="shared" si="1"/>
        <v>15065008.199999999</v>
      </c>
      <c r="W17" s="71">
        <v>11000000</v>
      </c>
      <c r="X17" s="71">
        <f>4400000</f>
        <v>4400000</v>
      </c>
      <c r="Y17" s="71">
        <f t="shared" ref="Y17:Y48" si="15">MAX(V17-O17-W17-X17,0)</f>
        <v>0</v>
      </c>
      <c r="Z17" s="71">
        <f t="shared" ref="Z17:Z48" si="16">ROUND(IF(Y17&gt;80000000,((Y17-80000000)*0.35+18150000),IF(AND(Y17&gt;52000000,Y17&lt;=80000000),((Y17-52000000)*0.3+9750000),IF(AND(Y17&gt;32000000,Y17&lt;=52000000),((Y17-32000000)*0.25+4750000),IF(AND(Y17&gt;18000000,Y17&lt;=32000000),((Y17-18000000)*0.2+1950000),IF(AND(Y17&gt;10000000,Y17&lt;=18000000),((Y17-10000000)*0.15+750000),IF(AND(Y17&gt;5000000,Y17&lt;=10000000),((Y17-5000000)*0.1+250000),(Y17*0.05))))))),0)</f>
        <v>0</v>
      </c>
    </row>
    <row r="18" spans="1:26" s="26" customFormat="1" ht="21.75" customHeight="1" x14ac:dyDescent="0.25">
      <c r="A18" s="29">
        <v>5</v>
      </c>
      <c r="B18" s="30" t="s">
        <v>32</v>
      </c>
      <c r="C18" s="31" t="s">
        <v>29</v>
      </c>
      <c r="D18" s="32">
        <f t="shared" si="9"/>
        <v>5744400</v>
      </c>
      <c r="E18" s="33">
        <v>26</v>
      </c>
      <c r="F18" s="34">
        <v>4298400</v>
      </c>
      <c r="G18" s="34">
        <v>1446000</v>
      </c>
      <c r="H18" s="35">
        <v>3712800</v>
      </c>
      <c r="I18" s="35">
        <v>730000</v>
      </c>
      <c r="J18" s="35">
        <v>5607808.2000000002</v>
      </c>
      <c r="K18" s="36">
        <f t="shared" si="10"/>
        <v>15795008.199999999</v>
      </c>
      <c r="L18" s="37">
        <f t="shared" si="4"/>
        <v>459552</v>
      </c>
      <c r="M18" s="38">
        <f t="shared" si="5"/>
        <v>86166</v>
      </c>
      <c r="N18" s="39">
        <f t="shared" si="6"/>
        <v>57444</v>
      </c>
      <c r="O18" s="40">
        <f t="shared" si="7"/>
        <v>603162</v>
      </c>
      <c r="P18" s="38">
        <f t="shared" si="11"/>
        <v>1005269.9999999999</v>
      </c>
      <c r="Q18" s="38">
        <f t="shared" si="12"/>
        <v>172332</v>
      </c>
      <c r="R18" s="38">
        <f t="shared" si="13"/>
        <v>57444</v>
      </c>
      <c r="S18" s="40">
        <f t="shared" si="8"/>
        <v>1235046</v>
      </c>
      <c r="T18" s="41">
        <f t="shared" si="14"/>
        <v>15191846.199999999</v>
      </c>
      <c r="U18" s="42"/>
      <c r="V18" s="70">
        <f t="shared" si="1"/>
        <v>15065008.199999999</v>
      </c>
      <c r="W18" s="71">
        <v>11000000</v>
      </c>
      <c r="X18" s="71">
        <f>4400000</f>
        <v>4400000</v>
      </c>
      <c r="Y18" s="71">
        <f t="shared" si="15"/>
        <v>0</v>
      </c>
      <c r="Z18" s="71">
        <f t="shared" si="16"/>
        <v>0</v>
      </c>
    </row>
    <row r="19" spans="1:26" s="44" customFormat="1" ht="21.75" customHeight="1" x14ac:dyDescent="0.2">
      <c r="A19" s="29">
        <v>6</v>
      </c>
      <c r="B19" s="30" t="s">
        <v>33</v>
      </c>
      <c r="C19" s="31" t="s">
        <v>30</v>
      </c>
      <c r="D19" s="32">
        <f>F19+G19</f>
        <v>5545400</v>
      </c>
      <c r="E19" s="33">
        <v>26</v>
      </c>
      <c r="F19" s="34">
        <v>4258600</v>
      </c>
      <c r="G19" s="34">
        <v>1286800</v>
      </c>
      <c r="H19" s="35">
        <v>5083000</v>
      </c>
      <c r="I19" s="35">
        <v>730000</v>
      </c>
      <c r="J19" s="35">
        <v>3738538.8000000003</v>
      </c>
      <c r="K19" s="36">
        <f t="shared" si="10"/>
        <v>15096938.800000001</v>
      </c>
      <c r="L19" s="37">
        <f>D19*8%</f>
        <v>443632</v>
      </c>
      <c r="M19" s="38">
        <f>D19*1.5%</f>
        <v>83181</v>
      </c>
      <c r="N19" s="39">
        <f>D19*1%</f>
        <v>55454</v>
      </c>
      <c r="O19" s="40">
        <f>L19+M19+N19</f>
        <v>582267</v>
      </c>
      <c r="P19" s="38">
        <f t="shared" si="11"/>
        <v>970444.99999999988</v>
      </c>
      <c r="Q19" s="38">
        <f>D19*3%</f>
        <v>166362</v>
      </c>
      <c r="R19" s="38">
        <f t="shared" si="13"/>
        <v>55454</v>
      </c>
      <c r="S19" s="40">
        <f>P19+Q19+R19</f>
        <v>1192261</v>
      </c>
      <c r="T19" s="41">
        <f>K19-O19</f>
        <v>14514671.800000001</v>
      </c>
      <c r="U19" s="42"/>
      <c r="V19" s="70">
        <f t="shared" si="1"/>
        <v>14366938.800000001</v>
      </c>
      <c r="W19" s="71">
        <v>11000000</v>
      </c>
      <c r="X19" s="71"/>
      <c r="Y19" s="71">
        <f t="shared" si="15"/>
        <v>2784671.8000000007</v>
      </c>
      <c r="Z19" s="71">
        <f t="shared" si="16"/>
        <v>139234</v>
      </c>
    </row>
    <row r="20" spans="1:26" s="44" customFormat="1" ht="21.75" customHeight="1" x14ac:dyDescent="0.2">
      <c r="A20" s="29">
        <v>7</v>
      </c>
      <c r="B20" s="30" t="s">
        <v>35</v>
      </c>
      <c r="C20" s="31" t="s">
        <v>36</v>
      </c>
      <c r="D20" s="32">
        <f>F20+G20</f>
        <v>6270000</v>
      </c>
      <c r="E20" s="33">
        <v>26</v>
      </c>
      <c r="F20" s="34">
        <v>5016000</v>
      </c>
      <c r="G20" s="34">
        <v>1254000</v>
      </c>
      <c r="H20" s="35">
        <v>3712800</v>
      </c>
      <c r="I20" s="35">
        <v>730000</v>
      </c>
      <c r="J20" s="35">
        <v>8328128.2750000004</v>
      </c>
      <c r="K20" s="36">
        <f t="shared" si="10"/>
        <v>19040928.274999999</v>
      </c>
      <c r="L20" s="37">
        <f>D20*8%</f>
        <v>501600</v>
      </c>
      <c r="M20" s="38">
        <f>D20*1.5%</f>
        <v>94050</v>
      </c>
      <c r="N20" s="39">
        <f>D20*1%</f>
        <v>62700</v>
      </c>
      <c r="O20" s="40">
        <f>L20+M20+N20</f>
        <v>658350</v>
      </c>
      <c r="P20" s="38">
        <f t="shared" si="11"/>
        <v>1097250</v>
      </c>
      <c r="Q20" s="38">
        <f>D20*3%</f>
        <v>188100</v>
      </c>
      <c r="R20" s="38">
        <f t="shared" si="13"/>
        <v>62700</v>
      </c>
      <c r="S20" s="40">
        <f>P20+Q20+R20</f>
        <v>1348050</v>
      </c>
      <c r="T20" s="41">
        <f>K20-O20</f>
        <v>18382578.274999999</v>
      </c>
      <c r="U20" s="42"/>
      <c r="V20" s="70">
        <f t="shared" si="1"/>
        <v>18310928.274999999</v>
      </c>
      <c r="W20" s="71">
        <v>11000000</v>
      </c>
      <c r="X20" s="71">
        <f>4400000*2</f>
        <v>8800000</v>
      </c>
      <c r="Y20" s="71">
        <f t="shared" si="15"/>
        <v>0</v>
      </c>
      <c r="Z20" s="71">
        <f t="shared" si="16"/>
        <v>0</v>
      </c>
    </row>
    <row r="21" spans="1:26" s="26" customFormat="1" ht="21.75" customHeight="1" x14ac:dyDescent="0.25">
      <c r="A21" s="29">
        <v>8</v>
      </c>
      <c r="B21" s="30" t="s">
        <v>51</v>
      </c>
      <c r="C21" s="45" t="s">
        <v>30</v>
      </c>
      <c r="D21" s="32">
        <f t="shared" si="9"/>
        <v>5746000</v>
      </c>
      <c r="E21" s="33">
        <v>26</v>
      </c>
      <c r="F21" s="34">
        <v>4773600</v>
      </c>
      <c r="G21" s="34">
        <v>972400</v>
      </c>
      <c r="H21" s="35">
        <v>5083000</v>
      </c>
      <c r="I21" s="35">
        <v>730000</v>
      </c>
      <c r="J21" s="35">
        <v>3738538.8000000003</v>
      </c>
      <c r="K21" s="36">
        <f t="shared" si="10"/>
        <v>15297538.800000001</v>
      </c>
      <c r="L21" s="37">
        <f t="shared" si="4"/>
        <v>459680</v>
      </c>
      <c r="M21" s="38">
        <f t="shared" si="5"/>
        <v>86190</v>
      </c>
      <c r="N21" s="39">
        <f t="shared" si="6"/>
        <v>57460</v>
      </c>
      <c r="O21" s="40">
        <f t="shared" si="7"/>
        <v>603330</v>
      </c>
      <c r="P21" s="38">
        <f t="shared" si="11"/>
        <v>1005549.9999999999</v>
      </c>
      <c r="Q21" s="38">
        <f t="shared" si="12"/>
        <v>172380</v>
      </c>
      <c r="R21" s="38">
        <f t="shared" si="13"/>
        <v>57460</v>
      </c>
      <c r="S21" s="40">
        <f t="shared" si="8"/>
        <v>1235390</v>
      </c>
      <c r="T21" s="41">
        <f t="shared" si="14"/>
        <v>14694208.800000001</v>
      </c>
      <c r="U21" s="42"/>
      <c r="V21" s="70">
        <f t="shared" si="1"/>
        <v>14567538.800000001</v>
      </c>
      <c r="W21" s="71">
        <v>11000000</v>
      </c>
      <c r="X21" s="71">
        <f>4400000</f>
        <v>4400000</v>
      </c>
      <c r="Y21" s="71">
        <f t="shared" si="15"/>
        <v>0</v>
      </c>
      <c r="Z21" s="71">
        <f t="shared" si="16"/>
        <v>0</v>
      </c>
    </row>
    <row r="22" spans="1:26" s="26" customFormat="1" ht="21.75" customHeight="1" x14ac:dyDescent="0.25">
      <c r="A22" s="29">
        <v>9</v>
      </c>
      <c r="B22" s="30" t="s">
        <v>49</v>
      </c>
      <c r="C22" s="45" t="s">
        <v>30</v>
      </c>
      <c r="D22" s="32">
        <f t="shared" si="9"/>
        <v>5746000</v>
      </c>
      <c r="E22" s="33">
        <v>26</v>
      </c>
      <c r="F22" s="34">
        <v>4773600</v>
      </c>
      <c r="G22" s="34">
        <v>972400</v>
      </c>
      <c r="H22" s="35">
        <v>5083000</v>
      </c>
      <c r="I22" s="35">
        <v>730000</v>
      </c>
      <c r="J22" s="35">
        <v>3738538.8000000003</v>
      </c>
      <c r="K22" s="36">
        <f t="shared" si="10"/>
        <v>15297538.800000001</v>
      </c>
      <c r="L22" s="37">
        <f t="shared" si="4"/>
        <v>459680</v>
      </c>
      <c r="M22" s="38">
        <f t="shared" si="5"/>
        <v>86190</v>
      </c>
      <c r="N22" s="39">
        <f t="shared" si="6"/>
        <v>57460</v>
      </c>
      <c r="O22" s="40">
        <f t="shared" si="7"/>
        <v>603330</v>
      </c>
      <c r="P22" s="38">
        <f t="shared" si="11"/>
        <v>1005549.9999999999</v>
      </c>
      <c r="Q22" s="38">
        <f t="shared" si="12"/>
        <v>172380</v>
      </c>
      <c r="R22" s="38">
        <f t="shared" si="13"/>
        <v>57460</v>
      </c>
      <c r="S22" s="40">
        <f t="shared" si="8"/>
        <v>1235390</v>
      </c>
      <c r="T22" s="41">
        <f t="shared" si="14"/>
        <v>14694208.800000001</v>
      </c>
      <c r="U22" s="42"/>
      <c r="V22" s="70">
        <f t="shared" si="1"/>
        <v>14567538.800000001</v>
      </c>
      <c r="W22" s="71">
        <v>11000000</v>
      </c>
      <c r="X22" s="71"/>
      <c r="Y22" s="71">
        <f t="shared" si="15"/>
        <v>2964208.8000000007</v>
      </c>
      <c r="Z22" s="71">
        <f t="shared" si="16"/>
        <v>148210</v>
      </c>
    </row>
    <row r="23" spans="1:26" s="26" customFormat="1" ht="21.75" customHeight="1" x14ac:dyDescent="0.25">
      <c r="A23" s="29">
        <v>10</v>
      </c>
      <c r="B23" s="30" t="s">
        <v>53</v>
      </c>
      <c r="C23" s="45" t="s">
        <v>30</v>
      </c>
      <c r="D23" s="32">
        <f t="shared" si="9"/>
        <v>5746000</v>
      </c>
      <c r="E23" s="33">
        <v>26</v>
      </c>
      <c r="F23" s="34">
        <v>4773600</v>
      </c>
      <c r="G23" s="34">
        <v>972400</v>
      </c>
      <c r="H23" s="35">
        <v>5083000</v>
      </c>
      <c r="I23" s="35">
        <v>730000</v>
      </c>
      <c r="J23" s="35">
        <v>3738538.8000000003</v>
      </c>
      <c r="K23" s="36">
        <f t="shared" si="10"/>
        <v>15297538.800000001</v>
      </c>
      <c r="L23" s="37">
        <f t="shared" si="4"/>
        <v>459680</v>
      </c>
      <c r="M23" s="38">
        <f t="shared" si="5"/>
        <v>86190</v>
      </c>
      <c r="N23" s="39">
        <f t="shared" si="6"/>
        <v>57460</v>
      </c>
      <c r="O23" s="40">
        <f t="shared" si="7"/>
        <v>603330</v>
      </c>
      <c r="P23" s="38">
        <f t="shared" si="11"/>
        <v>1005549.9999999999</v>
      </c>
      <c r="Q23" s="38">
        <f t="shared" si="12"/>
        <v>172380</v>
      </c>
      <c r="R23" s="38">
        <f t="shared" si="13"/>
        <v>57460</v>
      </c>
      <c r="S23" s="40">
        <f t="shared" si="8"/>
        <v>1235390</v>
      </c>
      <c r="T23" s="41">
        <f t="shared" si="14"/>
        <v>14694208.800000001</v>
      </c>
      <c r="U23" s="42"/>
      <c r="V23" s="70">
        <f t="shared" si="1"/>
        <v>14567538.800000001</v>
      </c>
      <c r="W23" s="71">
        <v>11000000</v>
      </c>
      <c r="X23" s="71"/>
      <c r="Y23" s="71">
        <f t="shared" si="15"/>
        <v>2964208.8000000007</v>
      </c>
      <c r="Z23" s="71">
        <f t="shared" si="16"/>
        <v>148210</v>
      </c>
    </row>
    <row r="24" spans="1:26" s="26" customFormat="1" ht="21.75" customHeight="1" x14ac:dyDescent="0.25">
      <c r="A24" s="29">
        <v>11</v>
      </c>
      <c r="B24" s="30" t="s">
        <v>78</v>
      </c>
      <c r="C24" s="31" t="s">
        <v>29</v>
      </c>
      <c r="D24" s="32">
        <f t="shared" si="9"/>
        <v>6276400</v>
      </c>
      <c r="E24" s="33">
        <v>26</v>
      </c>
      <c r="F24" s="34">
        <v>5304000</v>
      </c>
      <c r="G24" s="34">
        <v>972400</v>
      </c>
      <c r="H24" s="35">
        <v>3712800</v>
      </c>
      <c r="I24" s="35">
        <v>730000</v>
      </c>
      <c r="J24" s="35">
        <v>5607808.2000000002</v>
      </c>
      <c r="K24" s="36">
        <f t="shared" si="10"/>
        <v>16327008.199999999</v>
      </c>
      <c r="L24" s="37">
        <f t="shared" si="4"/>
        <v>502112</v>
      </c>
      <c r="M24" s="38">
        <f t="shared" si="5"/>
        <v>94146</v>
      </c>
      <c r="N24" s="39">
        <f t="shared" si="6"/>
        <v>62764</v>
      </c>
      <c r="O24" s="40">
        <f t="shared" si="7"/>
        <v>659022</v>
      </c>
      <c r="P24" s="38">
        <f t="shared" si="11"/>
        <v>1098370</v>
      </c>
      <c r="Q24" s="38">
        <f t="shared" si="12"/>
        <v>188292</v>
      </c>
      <c r="R24" s="38">
        <f t="shared" si="13"/>
        <v>62764</v>
      </c>
      <c r="S24" s="40">
        <f t="shared" si="8"/>
        <v>1349426</v>
      </c>
      <c r="T24" s="41">
        <f t="shared" si="14"/>
        <v>15667986.199999999</v>
      </c>
      <c r="U24" s="42"/>
      <c r="V24" s="70">
        <f t="shared" si="1"/>
        <v>15597008.199999999</v>
      </c>
      <c r="W24" s="71">
        <v>11000000</v>
      </c>
      <c r="X24" s="71">
        <f>4400000*2</f>
        <v>8800000</v>
      </c>
      <c r="Y24" s="71">
        <f t="shared" si="15"/>
        <v>0</v>
      </c>
      <c r="Z24" s="71">
        <f t="shared" si="16"/>
        <v>0</v>
      </c>
    </row>
    <row r="25" spans="1:26" s="26" customFormat="1" ht="21.75" customHeight="1" x14ac:dyDescent="0.25">
      <c r="A25" s="29">
        <v>12</v>
      </c>
      <c r="B25" s="30" t="s">
        <v>80</v>
      </c>
      <c r="C25" s="45" t="s">
        <v>30</v>
      </c>
      <c r="D25" s="32">
        <f t="shared" si="9"/>
        <v>5746000</v>
      </c>
      <c r="E25" s="33">
        <v>26</v>
      </c>
      <c r="F25" s="34">
        <v>4773600</v>
      </c>
      <c r="G25" s="34">
        <v>972400</v>
      </c>
      <c r="H25" s="35">
        <v>5083000</v>
      </c>
      <c r="I25" s="35">
        <v>730000</v>
      </c>
      <c r="J25" s="35">
        <v>6662502.6200000001</v>
      </c>
      <c r="K25" s="36">
        <f t="shared" si="10"/>
        <v>18221502.620000001</v>
      </c>
      <c r="L25" s="37">
        <f t="shared" si="4"/>
        <v>459680</v>
      </c>
      <c r="M25" s="38">
        <f t="shared" si="5"/>
        <v>86190</v>
      </c>
      <c r="N25" s="39">
        <f t="shared" si="6"/>
        <v>57460</v>
      </c>
      <c r="O25" s="40">
        <f t="shared" si="7"/>
        <v>603330</v>
      </c>
      <c r="P25" s="38">
        <f t="shared" si="11"/>
        <v>1005549.9999999999</v>
      </c>
      <c r="Q25" s="38">
        <f t="shared" si="12"/>
        <v>172380</v>
      </c>
      <c r="R25" s="38">
        <f t="shared" si="13"/>
        <v>57460</v>
      </c>
      <c r="S25" s="40">
        <f t="shared" si="8"/>
        <v>1235390</v>
      </c>
      <c r="T25" s="41">
        <f>K25-O25</f>
        <v>17618172.620000001</v>
      </c>
      <c r="U25" s="42"/>
      <c r="V25" s="70">
        <f t="shared" si="1"/>
        <v>17491502.620000001</v>
      </c>
      <c r="W25" s="71">
        <v>11000000</v>
      </c>
      <c r="X25" s="71"/>
      <c r="Y25" s="71">
        <f t="shared" si="15"/>
        <v>5888172.620000001</v>
      </c>
      <c r="Z25" s="71">
        <f t="shared" si="16"/>
        <v>338817</v>
      </c>
    </row>
    <row r="26" spans="1:26" s="53" customFormat="1" ht="21.75" customHeight="1" x14ac:dyDescent="0.25">
      <c r="A26" s="29">
        <v>13</v>
      </c>
      <c r="B26" s="30" t="s">
        <v>86</v>
      </c>
      <c r="C26" s="31" t="s">
        <v>30</v>
      </c>
      <c r="D26" s="32">
        <f t="shared" si="9"/>
        <v>5746000</v>
      </c>
      <c r="E26" s="33">
        <v>26</v>
      </c>
      <c r="F26" s="34">
        <v>4773600</v>
      </c>
      <c r="G26" s="34">
        <v>972400</v>
      </c>
      <c r="H26" s="35">
        <v>5083000</v>
      </c>
      <c r="I26" s="35">
        <v>730000</v>
      </c>
      <c r="J26" s="35">
        <v>3738538.8000000003</v>
      </c>
      <c r="K26" s="36">
        <f t="shared" si="10"/>
        <v>15297538.800000001</v>
      </c>
      <c r="L26" s="37">
        <f t="shared" si="4"/>
        <v>459680</v>
      </c>
      <c r="M26" s="38">
        <f t="shared" si="5"/>
        <v>86190</v>
      </c>
      <c r="N26" s="39">
        <f t="shared" si="6"/>
        <v>57460</v>
      </c>
      <c r="O26" s="40">
        <f t="shared" si="7"/>
        <v>603330</v>
      </c>
      <c r="P26" s="38">
        <f t="shared" si="11"/>
        <v>1005549.9999999999</v>
      </c>
      <c r="Q26" s="38">
        <f t="shared" si="12"/>
        <v>172380</v>
      </c>
      <c r="R26" s="38">
        <f t="shared" si="13"/>
        <v>57460</v>
      </c>
      <c r="S26" s="40">
        <f t="shared" si="8"/>
        <v>1235390</v>
      </c>
      <c r="T26" s="41">
        <f>K26-O26</f>
        <v>14694208.800000001</v>
      </c>
      <c r="U26" s="42"/>
      <c r="V26" s="70">
        <f t="shared" si="1"/>
        <v>14567538.800000001</v>
      </c>
      <c r="W26" s="71">
        <v>11000000</v>
      </c>
      <c r="X26" s="71"/>
      <c r="Y26" s="71">
        <f t="shared" si="15"/>
        <v>2964208.8000000007</v>
      </c>
      <c r="Z26" s="71">
        <f t="shared" si="16"/>
        <v>148210</v>
      </c>
    </row>
    <row r="27" spans="1:26" s="53" customFormat="1" ht="21.75" customHeight="1" x14ac:dyDescent="0.25">
      <c r="A27" s="29">
        <v>14</v>
      </c>
      <c r="B27" s="30" t="s">
        <v>89</v>
      </c>
      <c r="C27" s="31" t="s">
        <v>30</v>
      </c>
      <c r="D27" s="32">
        <f t="shared" si="9"/>
        <v>5746000</v>
      </c>
      <c r="E27" s="33">
        <v>26</v>
      </c>
      <c r="F27" s="34">
        <v>4773600</v>
      </c>
      <c r="G27" s="34">
        <v>972400</v>
      </c>
      <c r="H27" s="35">
        <v>5083000</v>
      </c>
      <c r="I27" s="35">
        <v>730000</v>
      </c>
      <c r="J27" s="35">
        <v>6662502.6200000001</v>
      </c>
      <c r="K27" s="36">
        <f t="shared" si="10"/>
        <v>18221502.620000001</v>
      </c>
      <c r="L27" s="37">
        <f t="shared" si="4"/>
        <v>459680</v>
      </c>
      <c r="M27" s="38">
        <f t="shared" si="5"/>
        <v>86190</v>
      </c>
      <c r="N27" s="39">
        <f t="shared" si="6"/>
        <v>57460</v>
      </c>
      <c r="O27" s="40">
        <f t="shared" si="7"/>
        <v>603330</v>
      </c>
      <c r="P27" s="38">
        <f t="shared" si="11"/>
        <v>1005549.9999999999</v>
      </c>
      <c r="Q27" s="38">
        <f t="shared" si="12"/>
        <v>172380</v>
      </c>
      <c r="R27" s="38">
        <f t="shared" si="13"/>
        <v>57460</v>
      </c>
      <c r="S27" s="40">
        <f t="shared" si="8"/>
        <v>1235390</v>
      </c>
      <c r="T27" s="41">
        <f t="shared" ref="T27" si="17">K27-O27</f>
        <v>17618172.620000001</v>
      </c>
      <c r="U27" s="42"/>
      <c r="V27" s="70">
        <f t="shared" si="1"/>
        <v>17491502.620000001</v>
      </c>
      <c r="W27" s="71">
        <v>11000000</v>
      </c>
      <c r="X27" s="71">
        <f>4400000*2</f>
        <v>8800000</v>
      </c>
      <c r="Y27" s="71">
        <f t="shared" si="15"/>
        <v>0</v>
      </c>
      <c r="Z27" s="71">
        <f t="shared" si="16"/>
        <v>0</v>
      </c>
    </row>
    <row r="28" spans="1:26" s="53" customFormat="1" ht="21.75" customHeight="1" x14ac:dyDescent="0.25">
      <c r="A28" s="29"/>
      <c r="B28" s="30" t="s">
        <v>91</v>
      </c>
      <c r="C28" s="31" t="s">
        <v>30</v>
      </c>
      <c r="D28" s="32"/>
      <c r="E28" s="33"/>
      <c r="F28" s="34"/>
      <c r="G28" s="34"/>
      <c r="H28" s="35"/>
      <c r="I28" s="35"/>
      <c r="J28" s="35"/>
      <c r="K28" s="36"/>
      <c r="L28" s="37"/>
      <c r="M28" s="38"/>
      <c r="N28" s="39"/>
      <c r="O28" s="40"/>
      <c r="P28" s="38"/>
      <c r="Q28" s="38"/>
      <c r="R28" s="38"/>
      <c r="S28" s="40"/>
      <c r="T28" s="41"/>
      <c r="U28" s="42"/>
      <c r="V28" s="70"/>
      <c r="W28" s="71"/>
      <c r="X28" s="71"/>
      <c r="Y28" s="71"/>
      <c r="Z28" s="71"/>
    </row>
    <row r="29" spans="1:26" s="53" customFormat="1" ht="21.75" customHeight="1" x14ac:dyDescent="0.25">
      <c r="A29" s="29">
        <v>15</v>
      </c>
      <c r="B29" s="30" t="s">
        <v>92</v>
      </c>
      <c r="C29" s="31" t="s">
        <v>29</v>
      </c>
      <c r="D29" s="32">
        <f t="shared" si="9"/>
        <v>6276400</v>
      </c>
      <c r="E29" s="33">
        <v>26</v>
      </c>
      <c r="F29" s="34">
        <v>5304000</v>
      </c>
      <c r="G29" s="34">
        <v>972400</v>
      </c>
      <c r="H29" s="35">
        <v>3712800</v>
      </c>
      <c r="I29" s="35">
        <v>730000</v>
      </c>
      <c r="J29" s="35">
        <v>8328128.2750000004</v>
      </c>
      <c r="K29" s="36">
        <f>F29+G29+H29+I29+J29</f>
        <v>19047328.274999999</v>
      </c>
      <c r="L29" s="37">
        <f t="shared" si="4"/>
        <v>502112</v>
      </c>
      <c r="M29" s="38">
        <f t="shared" si="5"/>
        <v>94146</v>
      </c>
      <c r="N29" s="39">
        <f t="shared" si="6"/>
        <v>62764</v>
      </c>
      <c r="O29" s="40">
        <f t="shared" si="7"/>
        <v>659022</v>
      </c>
      <c r="P29" s="38">
        <f t="shared" si="11"/>
        <v>1098370</v>
      </c>
      <c r="Q29" s="38">
        <f t="shared" si="12"/>
        <v>188292</v>
      </c>
      <c r="R29" s="38">
        <f t="shared" si="13"/>
        <v>62764</v>
      </c>
      <c r="S29" s="40">
        <f t="shared" si="8"/>
        <v>1349426</v>
      </c>
      <c r="T29" s="41">
        <f t="shared" ref="T29:T30" si="18">K29-O29</f>
        <v>18388306.274999999</v>
      </c>
      <c r="U29" s="42"/>
      <c r="V29" s="70">
        <f t="shared" si="1"/>
        <v>18317328.274999999</v>
      </c>
      <c r="W29" s="71">
        <v>11000000</v>
      </c>
      <c r="X29" s="71">
        <f>4400000*3</f>
        <v>13200000</v>
      </c>
      <c r="Y29" s="71">
        <f t="shared" si="15"/>
        <v>0</v>
      </c>
      <c r="Z29" s="71">
        <f t="shared" si="16"/>
        <v>0</v>
      </c>
    </row>
    <row r="30" spans="1:26" s="53" customFormat="1" ht="21.75" customHeight="1" x14ac:dyDescent="0.25">
      <c r="A30" s="29">
        <v>16</v>
      </c>
      <c r="B30" s="30" t="s">
        <v>93</v>
      </c>
      <c r="C30" s="31" t="s">
        <v>29</v>
      </c>
      <c r="D30" s="32">
        <f t="shared" si="9"/>
        <v>6276400</v>
      </c>
      <c r="E30" s="33">
        <v>26</v>
      </c>
      <c r="F30" s="34">
        <v>5304000</v>
      </c>
      <c r="G30" s="34">
        <v>972400</v>
      </c>
      <c r="H30" s="35">
        <v>3712800</v>
      </c>
      <c r="I30" s="35">
        <v>730000</v>
      </c>
      <c r="J30" s="35">
        <v>8328128.2750000004</v>
      </c>
      <c r="K30" s="36">
        <f t="shared" ref="K30:K42" si="19">F30+G30+H30+I30+J30</f>
        <v>19047328.274999999</v>
      </c>
      <c r="L30" s="37">
        <f t="shared" si="4"/>
        <v>502112</v>
      </c>
      <c r="M30" s="38">
        <f t="shared" si="5"/>
        <v>94146</v>
      </c>
      <c r="N30" s="39">
        <f t="shared" si="6"/>
        <v>62764</v>
      </c>
      <c r="O30" s="40">
        <f t="shared" si="7"/>
        <v>659022</v>
      </c>
      <c r="P30" s="38">
        <f t="shared" si="11"/>
        <v>1098370</v>
      </c>
      <c r="Q30" s="38">
        <f t="shared" si="12"/>
        <v>188292</v>
      </c>
      <c r="R30" s="38">
        <f t="shared" si="13"/>
        <v>62764</v>
      </c>
      <c r="S30" s="40">
        <f t="shared" si="8"/>
        <v>1349426</v>
      </c>
      <c r="T30" s="41">
        <f t="shared" si="18"/>
        <v>18388306.274999999</v>
      </c>
      <c r="U30" s="42"/>
      <c r="V30" s="70">
        <f t="shared" si="1"/>
        <v>18317328.274999999</v>
      </c>
      <c r="W30" s="71">
        <v>11000000</v>
      </c>
      <c r="X30" s="71">
        <f>4400000</f>
        <v>4400000</v>
      </c>
      <c r="Y30" s="71">
        <f t="shared" si="15"/>
        <v>2258306.2749999985</v>
      </c>
      <c r="Z30" s="71">
        <f t="shared" si="16"/>
        <v>112915</v>
      </c>
    </row>
    <row r="31" spans="1:26" s="53" customFormat="1" ht="21.75" customHeight="1" x14ac:dyDescent="0.25">
      <c r="A31" s="29">
        <v>17</v>
      </c>
      <c r="B31" s="30" t="s">
        <v>94</v>
      </c>
      <c r="C31" s="31" t="s">
        <v>30</v>
      </c>
      <c r="D31" s="32">
        <f t="shared" si="9"/>
        <v>5746000</v>
      </c>
      <c r="E31" s="33">
        <v>26</v>
      </c>
      <c r="F31" s="34">
        <v>4773600</v>
      </c>
      <c r="G31" s="34">
        <v>972400</v>
      </c>
      <c r="H31" s="35">
        <v>5083000</v>
      </c>
      <c r="I31" s="35">
        <v>730000</v>
      </c>
      <c r="J31" s="35">
        <v>6662502.6200000001</v>
      </c>
      <c r="K31" s="36">
        <f t="shared" si="19"/>
        <v>18221502.620000001</v>
      </c>
      <c r="L31" s="37">
        <f t="shared" si="4"/>
        <v>459680</v>
      </c>
      <c r="M31" s="38">
        <f t="shared" si="5"/>
        <v>86190</v>
      </c>
      <c r="N31" s="39">
        <f t="shared" si="6"/>
        <v>57460</v>
      </c>
      <c r="O31" s="40">
        <f t="shared" si="7"/>
        <v>603330</v>
      </c>
      <c r="P31" s="38">
        <f t="shared" si="11"/>
        <v>1005549.9999999999</v>
      </c>
      <c r="Q31" s="38">
        <f t="shared" si="12"/>
        <v>172380</v>
      </c>
      <c r="R31" s="38">
        <f t="shared" si="13"/>
        <v>57460</v>
      </c>
      <c r="S31" s="40">
        <f t="shared" si="8"/>
        <v>1235390</v>
      </c>
      <c r="T31" s="41">
        <f>K31-O31</f>
        <v>17618172.620000001</v>
      </c>
      <c r="U31" s="42"/>
      <c r="V31" s="70">
        <f t="shared" si="1"/>
        <v>17491502.620000001</v>
      </c>
      <c r="W31" s="71">
        <v>11000000</v>
      </c>
      <c r="X31" s="71">
        <f>4400000*3</f>
        <v>13200000</v>
      </c>
      <c r="Y31" s="71">
        <f t="shared" si="15"/>
        <v>0</v>
      </c>
      <c r="Z31" s="71">
        <f t="shared" si="16"/>
        <v>0</v>
      </c>
    </row>
    <row r="32" spans="1:26" s="53" customFormat="1" ht="21.75" customHeight="1" x14ac:dyDescent="0.25">
      <c r="A32" s="29">
        <v>18</v>
      </c>
      <c r="B32" s="30" t="s">
        <v>95</v>
      </c>
      <c r="C32" s="31" t="s">
        <v>30</v>
      </c>
      <c r="D32" s="32">
        <f t="shared" si="9"/>
        <v>5746000</v>
      </c>
      <c r="E32" s="33">
        <v>26</v>
      </c>
      <c r="F32" s="34">
        <v>4773600</v>
      </c>
      <c r="G32" s="34">
        <v>972400</v>
      </c>
      <c r="H32" s="35">
        <v>5083000</v>
      </c>
      <c r="I32" s="35">
        <v>730000</v>
      </c>
      <c r="J32" s="35">
        <v>6662502.6200000001</v>
      </c>
      <c r="K32" s="36">
        <f t="shared" si="19"/>
        <v>18221502.620000001</v>
      </c>
      <c r="L32" s="37">
        <f t="shared" si="4"/>
        <v>459680</v>
      </c>
      <c r="M32" s="38">
        <f t="shared" si="5"/>
        <v>86190</v>
      </c>
      <c r="N32" s="39">
        <f t="shared" si="6"/>
        <v>57460</v>
      </c>
      <c r="O32" s="40">
        <f t="shared" si="7"/>
        <v>603330</v>
      </c>
      <c r="P32" s="38">
        <f t="shared" si="11"/>
        <v>1005549.9999999999</v>
      </c>
      <c r="Q32" s="38">
        <f t="shared" si="12"/>
        <v>172380</v>
      </c>
      <c r="R32" s="38">
        <f t="shared" si="13"/>
        <v>57460</v>
      </c>
      <c r="S32" s="40">
        <f t="shared" si="8"/>
        <v>1235390</v>
      </c>
      <c r="T32" s="41">
        <f>K32-O32</f>
        <v>17618172.620000001</v>
      </c>
      <c r="U32" s="42"/>
      <c r="V32" s="70">
        <f t="shared" si="1"/>
        <v>17491502.620000001</v>
      </c>
      <c r="W32" s="71">
        <v>11000000</v>
      </c>
      <c r="X32" s="71">
        <f>4400000*3</f>
        <v>13200000</v>
      </c>
      <c r="Y32" s="71">
        <f t="shared" si="15"/>
        <v>0</v>
      </c>
      <c r="Z32" s="71">
        <f t="shared" si="16"/>
        <v>0</v>
      </c>
    </row>
    <row r="33" spans="1:26" s="53" customFormat="1" ht="21.75" customHeight="1" x14ac:dyDescent="0.25">
      <c r="A33" s="29">
        <v>19</v>
      </c>
      <c r="B33" s="63" t="s">
        <v>99</v>
      </c>
      <c r="C33" s="31" t="s">
        <v>30</v>
      </c>
      <c r="D33" s="32">
        <f t="shared" si="9"/>
        <v>5746000</v>
      </c>
      <c r="E33" s="33">
        <v>26</v>
      </c>
      <c r="F33" s="34">
        <v>4773600</v>
      </c>
      <c r="G33" s="34">
        <v>972400</v>
      </c>
      <c r="H33" s="35">
        <v>5083000</v>
      </c>
      <c r="I33" s="35">
        <v>730000</v>
      </c>
      <c r="J33" s="35">
        <v>3738538.8000000003</v>
      </c>
      <c r="K33" s="36">
        <f t="shared" si="19"/>
        <v>15297538.800000001</v>
      </c>
      <c r="L33" s="37">
        <f t="shared" si="4"/>
        <v>459680</v>
      </c>
      <c r="M33" s="38">
        <f t="shared" si="5"/>
        <v>86190</v>
      </c>
      <c r="N33" s="39">
        <f t="shared" si="6"/>
        <v>57460</v>
      </c>
      <c r="O33" s="40">
        <f t="shared" si="7"/>
        <v>603330</v>
      </c>
      <c r="P33" s="38">
        <f t="shared" si="11"/>
        <v>1005549.9999999999</v>
      </c>
      <c r="Q33" s="38">
        <f t="shared" si="12"/>
        <v>172380</v>
      </c>
      <c r="R33" s="38">
        <f t="shared" si="13"/>
        <v>57460</v>
      </c>
      <c r="S33" s="40">
        <f t="shared" si="8"/>
        <v>1235390</v>
      </c>
      <c r="T33" s="41">
        <f>K33-O33</f>
        <v>14694208.800000001</v>
      </c>
      <c r="U33" s="42"/>
      <c r="V33" s="70">
        <f t="shared" si="1"/>
        <v>14567538.800000001</v>
      </c>
      <c r="W33" s="71">
        <v>11000000</v>
      </c>
      <c r="X33" s="71"/>
      <c r="Y33" s="71">
        <f t="shared" si="15"/>
        <v>2964208.8000000007</v>
      </c>
      <c r="Z33" s="71">
        <f t="shared" si="16"/>
        <v>148210</v>
      </c>
    </row>
    <row r="34" spans="1:26" s="53" customFormat="1" ht="21.75" customHeight="1" x14ac:dyDescent="0.25">
      <c r="A34" s="29">
        <v>20</v>
      </c>
      <c r="B34" s="30" t="s">
        <v>102</v>
      </c>
      <c r="C34" s="31" t="s">
        <v>118</v>
      </c>
      <c r="D34" s="32">
        <f t="shared" si="9"/>
        <v>7935200</v>
      </c>
      <c r="E34" s="33">
        <v>26</v>
      </c>
      <c r="F34" s="34">
        <v>6786000</v>
      </c>
      <c r="G34" s="34">
        <v>1149200</v>
      </c>
      <c r="H34" s="35">
        <v>3845400</v>
      </c>
      <c r="I34" s="35">
        <v>730000</v>
      </c>
      <c r="J34" s="35">
        <v>11659379.585000001</v>
      </c>
      <c r="K34" s="36">
        <f t="shared" si="19"/>
        <v>24169979.585000001</v>
      </c>
      <c r="L34" s="37">
        <f t="shared" si="4"/>
        <v>634816</v>
      </c>
      <c r="M34" s="38">
        <f t="shared" si="5"/>
        <v>119028</v>
      </c>
      <c r="N34" s="39">
        <f t="shared" si="6"/>
        <v>79352</v>
      </c>
      <c r="O34" s="40">
        <f t="shared" si="7"/>
        <v>833196</v>
      </c>
      <c r="P34" s="38">
        <f t="shared" si="11"/>
        <v>1388660</v>
      </c>
      <c r="Q34" s="38">
        <f t="shared" si="12"/>
        <v>238056</v>
      </c>
      <c r="R34" s="38">
        <f t="shared" si="13"/>
        <v>79352</v>
      </c>
      <c r="S34" s="40">
        <f t="shared" si="8"/>
        <v>1706068</v>
      </c>
      <c r="T34" s="41">
        <f>K34-O34</f>
        <v>23336783.585000001</v>
      </c>
      <c r="U34" s="42"/>
      <c r="V34" s="70">
        <f t="shared" si="1"/>
        <v>23439979.585000001</v>
      </c>
      <c r="W34" s="71">
        <v>11000000</v>
      </c>
      <c r="X34" s="71">
        <f>4400000*3</f>
        <v>13200000</v>
      </c>
      <c r="Y34" s="71">
        <f t="shared" si="15"/>
        <v>0</v>
      </c>
      <c r="Z34" s="71">
        <f t="shared" si="16"/>
        <v>0</v>
      </c>
    </row>
    <row r="35" spans="1:26" s="53" customFormat="1" ht="21.75" customHeight="1" x14ac:dyDescent="0.25">
      <c r="A35" s="29">
        <v>21</v>
      </c>
      <c r="B35" s="63" t="s">
        <v>104</v>
      </c>
      <c r="C35" s="31" t="s">
        <v>29</v>
      </c>
      <c r="D35" s="32">
        <f t="shared" si="9"/>
        <v>6588400</v>
      </c>
      <c r="E35" s="33">
        <v>26</v>
      </c>
      <c r="F35" s="34">
        <v>5616000</v>
      </c>
      <c r="G35" s="34">
        <v>972400</v>
      </c>
      <c r="H35" s="35">
        <v>3712800</v>
      </c>
      <c r="I35" s="35">
        <v>730000</v>
      </c>
      <c r="J35" s="35">
        <v>3738538.8000000003</v>
      </c>
      <c r="K35" s="36">
        <f t="shared" si="19"/>
        <v>14769738.800000001</v>
      </c>
      <c r="L35" s="37">
        <f t="shared" si="4"/>
        <v>527072</v>
      </c>
      <c r="M35" s="38">
        <f t="shared" si="5"/>
        <v>98826</v>
      </c>
      <c r="N35" s="39">
        <f t="shared" si="6"/>
        <v>65884</v>
      </c>
      <c r="O35" s="40">
        <f>L35+M35+N35</f>
        <v>691782</v>
      </c>
      <c r="P35" s="38">
        <f>D35*17.5%</f>
        <v>1152970</v>
      </c>
      <c r="Q35" s="38">
        <f t="shared" si="12"/>
        <v>197652</v>
      </c>
      <c r="R35" s="38">
        <f t="shared" si="13"/>
        <v>65884</v>
      </c>
      <c r="S35" s="40">
        <f t="shared" si="8"/>
        <v>1416506</v>
      </c>
      <c r="T35" s="41">
        <f t="shared" ref="T35:T40" si="20">K35-O35</f>
        <v>14077956.800000001</v>
      </c>
      <c r="U35" s="42"/>
      <c r="V35" s="70">
        <f t="shared" si="1"/>
        <v>14039738.800000001</v>
      </c>
      <c r="W35" s="71">
        <v>11000000</v>
      </c>
      <c r="X35" s="71"/>
      <c r="Y35" s="71">
        <f t="shared" si="15"/>
        <v>2347956.8000000007</v>
      </c>
      <c r="Z35" s="71">
        <f t="shared" si="16"/>
        <v>117398</v>
      </c>
    </row>
    <row r="36" spans="1:26" s="53" customFormat="1" ht="21.75" customHeight="1" x14ac:dyDescent="0.25">
      <c r="A36" s="29">
        <v>22</v>
      </c>
      <c r="B36" s="30" t="s">
        <v>111</v>
      </c>
      <c r="C36" s="31" t="s">
        <v>29</v>
      </c>
      <c r="D36" s="32">
        <f t="shared" si="9"/>
        <v>6588400</v>
      </c>
      <c r="E36" s="33">
        <v>26</v>
      </c>
      <c r="F36" s="34">
        <v>5616000</v>
      </c>
      <c r="G36" s="34">
        <v>972400</v>
      </c>
      <c r="H36" s="35">
        <v>3712800</v>
      </c>
      <c r="I36" s="35">
        <v>730000</v>
      </c>
      <c r="J36" s="35">
        <v>5607808.2000000002</v>
      </c>
      <c r="K36" s="36">
        <f t="shared" si="19"/>
        <v>16639008.199999999</v>
      </c>
      <c r="L36" s="37">
        <f t="shared" si="4"/>
        <v>527072</v>
      </c>
      <c r="M36" s="38">
        <f t="shared" si="5"/>
        <v>98826</v>
      </c>
      <c r="N36" s="39">
        <f t="shared" si="6"/>
        <v>65884</v>
      </c>
      <c r="O36" s="40">
        <f>L36+M36+N36</f>
        <v>691782</v>
      </c>
      <c r="P36" s="38">
        <f>D36*17.5%</f>
        <v>1152970</v>
      </c>
      <c r="Q36" s="38">
        <f t="shared" si="12"/>
        <v>197652</v>
      </c>
      <c r="R36" s="38">
        <f t="shared" si="13"/>
        <v>65884</v>
      </c>
      <c r="S36" s="40">
        <f t="shared" si="8"/>
        <v>1416506</v>
      </c>
      <c r="T36" s="41">
        <f t="shared" si="20"/>
        <v>15947226.199999999</v>
      </c>
      <c r="U36" s="42"/>
      <c r="V36" s="70">
        <f t="shared" si="1"/>
        <v>15909008.199999999</v>
      </c>
      <c r="W36" s="71">
        <v>11000000</v>
      </c>
      <c r="X36" s="71">
        <f>4400000</f>
        <v>4400000</v>
      </c>
      <c r="Y36" s="71">
        <f t="shared" si="15"/>
        <v>0</v>
      </c>
      <c r="Z36" s="71">
        <f t="shared" si="16"/>
        <v>0</v>
      </c>
    </row>
    <row r="37" spans="1:26" s="53" customFormat="1" ht="21.75" customHeight="1" x14ac:dyDescent="0.25">
      <c r="A37" s="62">
        <v>23</v>
      </c>
      <c r="B37" s="30" t="s">
        <v>128</v>
      </c>
      <c r="C37" s="31" t="s">
        <v>129</v>
      </c>
      <c r="D37" s="32">
        <f t="shared" si="9"/>
        <v>5387200</v>
      </c>
      <c r="E37" s="33">
        <v>26</v>
      </c>
      <c r="F37" s="34">
        <v>4680000</v>
      </c>
      <c r="G37" s="34">
        <v>707200</v>
      </c>
      <c r="H37" s="35">
        <v>3580200</v>
      </c>
      <c r="I37" s="35">
        <v>730000</v>
      </c>
      <c r="J37" s="35">
        <v>1869269.4000000001</v>
      </c>
      <c r="K37" s="36">
        <f t="shared" si="19"/>
        <v>11566669.4</v>
      </c>
      <c r="L37" s="37">
        <f t="shared" si="4"/>
        <v>430976</v>
      </c>
      <c r="M37" s="38">
        <f t="shared" si="5"/>
        <v>80808</v>
      </c>
      <c r="N37" s="39">
        <f t="shared" si="6"/>
        <v>53872</v>
      </c>
      <c r="O37" s="40">
        <f>L37+M37+N37</f>
        <v>565656</v>
      </c>
      <c r="P37" s="38">
        <f>D37*17.5%</f>
        <v>942759.99999999988</v>
      </c>
      <c r="Q37" s="38">
        <f t="shared" si="12"/>
        <v>161616</v>
      </c>
      <c r="R37" s="38">
        <f t="shared" si="13"/>
        <v>53872</v>
      </c>
      <c r="S37" s="40">
        <f t="shared" si="8"/>
        <v>1158248</v>
      </c>
      <c r="T37" s="41">
        <f t="shared" si="20"/>
        <v>11001013.4</v>
      </c>
      <c r="U37" s="42"/>
      <c r="V37" s="70">
        <f t="shared" si="1"/>
        <v>10836669.4</v>
      </c>
      <c r="W37" s="71">
        <v>11000000</v>
      </c>
      <c r="X37" s="71"/>
      <c r="Y37" s="71">
        <f t="shared" si="15"/>
        <v>0</v>
      </c>
      <c r="Z37" s="71">
        <f t="shared" si="16"/>
        <v>0</v>
      </c>
    </row>
    <row r="38" spans="1:26" s="53" customFormat="1" ht="21.75" customHeight="1" x14ac:dyDescent="0.25">
      <c r="A38" s="29">
        <v>24</v>
      </c>
      <c r="B38" s="30" t="s">
        <v>135</v>
      </c>
      <c r="C38" s="31" t="s">
        <v>136</v>
      </c>
      <c r="D38" s="32"/>
      <c r="E38" s="33">
        <v>26</v>
      </c>
      <c r="F38" s="34">
        <v>15000000</v>
      </c>
      <c r="G38" s="34"/>
      <c r="H38" s="35"/>
      <c r="I38" s="35"/>
      <c r="J38" s="35"/>
      <c r="K38" s="36">
        <f t="shared" si="19"/>
        <v>15000000</v>
      </c>
      <c r="L38" s="37"/>
      <c r="M38" s="38"/>
      <c r="N38" s="39"/>
      <c r="O38" s="40"/>
      <c r="P38" s="38"/>
      <c r="Q38" s="38"/>
      <c r="R38" s="38"/>
      <c r="S38" s="40"/>
      <c r="T38" s="41">
        <f t="shared" si="20"/>
        <v>15000000</v>
      </c>
      <c r="U38" s="42"/>
      <c r="V38" s="70">
        <f t="shared" si="1"/>
        <v>15000000</v>
      </c>
      <c r="W38" s="71"/>
      <c r="X38" s="71"/>
      <c r="Y38" s="71">
        <f t="shared" si="15"/>
        <v>15000000</v>
      </c>
      <c r="Z38" s="71">
        <f>Y38*0.1</f>
        <v>1500000</v>
      </c>
    </row>
    <row r="39" spans="1:26" s="53" customFormat="1" ht="21.75" customHeight="1" x14ac:dyDescent="0.25">
      <c r="A39" s="29">
        <v>25</v>
      </c>
      <c r="B39" s="30" t="s">
        <v>148</v>
      </c>
      <c r="C39" s="31" t="s">
        <v>29</v>
      </c>
      <c r="D39" s="32">
        <f t="shared" ref="D39:D41" si="21">F39+G39</f>
        <v>6588400</v>
      </c>
      <c r="E39" s="33">
        <v>26</v>
      </c>
      <c r="F39" s="34">
        <v>5616000</v>
      </c>
      <c r="G39" s="34">
        <v>972400</v>
      </c>
      <c r="H39" s="35">
        <v>3712800</v>
      </c>
      <c r="I39" s="35">
        <v>730000</v>
      </c>
      <c r="J39" s="35">
        <v>3738538.8000000003</v>
      </c>
      <c r="K39" s="36">
        <f t="shared" si="19"/>
        <v>14769738.800000001</v>
      </c>
      <c r="L39" s="37">
        <f t="shared" ref="L39:L41" si="22">D39*8%</f>
        <v>527072</v>
      </c>
      <c r="M39" s="38">
        <f t="shared" ref="M39:M41" si="23">D39*1.5%</f>
        <v>98826</v>
      </c>
      <c r="N39" s="39">
        <f t="shared" ref="N39:N41" si="24">D39*1%</f>
        <v>65884</v>
      </c>
      <c r="O39" s="40">
        <f>L39+M39+N39</f>
        <v>691782</v>
      </c>
      <c r="P39" s="38">
        <f>D39*17.5%</f>
        <v>1152970</v>
      </c>
      <c r="Q39" s="38">
        <f t="shared" ref="Q39:Q41" si="25">D39*3%</f>
        <v>197652</v>
      </c>
      <c r="R39" s="38">
        <f t="shared" ref="R39:R41" si="26">D39*1%</f>
        <v>65884</v>
      </c>
      <c r="S39" s="40">
        <f t="shared" ref="S39:S41" si="27">P39+Q39+R39</f>
        <v>1416506</v>
      </c>
      <c r="T39" s="41">
        <f t="shared" si="20"/>
        <v>14077956.800000001</v>
      </c>
      <c r="U39" s="42"/>
      <c r="V39" s="70">
        <f t="shared" si="1"/>
        <v>14039738.800000001</v>
      </c>
      <c r="W39" s="71">
        <v>11000000</v>
      </c>
      <c r="X39" s="71"/>
      <c r="Y39" s="71">
        <f t="shared" si="15"/>
        <v>2347956.8000000007</v>
      </c>
      <c r="Z39" s="71">
        <f t="shared" si="16"/>
        <v>117398</v>
      </c>
    </row>
    <row r="40" spans="1:26" s="53" customFormat="1" ht="21.75" customHeight="1" x14ac:dyDescent="0.25">
      <c r="A40" s="62">
        <v>26</v>
      </c>
      <c r="B40" s="30" t="s">
        <v>149</v>
      </c>
      <c r="C40" s="31" t="s">
        <v>29</v>
      </c>
      <c r="D40" s="32">
        <f t="shared" si="21"/>
        <v>6588400</v>
      </c>
      <c r="E40" s="33">
        <v>26</v>
      </c>
      <c r="F40" s="34">
        <v>5616000</v>
      </c>
      <c r="G40" s="34">
        <v>972400</v>
      </c>
      <c r="H40" s="35">
        <v>3712800</v>
      </c>
      <c r="I40" s="35">
        <v>730000</v>
      </c>
      <c r="J40" s="35">
        <v>3738538.8000000003</v>
      </c>
      <c r="K40" s="36">
        <f t="shared" si="19"/>
        <v>14769738.800000001</v>
      </c>
      <c r="L40" s="37">
        <f t="shared" si="22"/>
        <v>527072</v>
      </c>
      <c r="M40" s="38">
        <f t="shared" si="23"/>
        <v>98826</v>
      </c>
      <c r="N40" s="39">
        <f t="shared" si="24"/>
        <v>65884</v>
      </c>
      <c r="O40" s="40">
        <f>L40+M40+N40</f>
        <v>691782</v>
      </c>
      <c r="P40" s="38">
        <f>D40*17.5%</f>
        <v>1152970</v>
      </c>
      <c r="Q40" s="38">
        <f t="shared" si="25"/>
        <v>197652</v>
      </c>
      <c r="R40" s="38">
        <f t="shared" si="26"/>
        <v>65884</v>
      </c>
      <c r="S40" s="40">
        <f t="shared" si="27"/>
        <v>1416506</v>
      </c>
      <c r="T40" s="41">
        <f t="shared" si="20"/>
        <v>14077956.800000001</v>
      </c>
      <c r="U40" s="42"/>
      <c r="V40" s="70">
        <f t="shared" si="1"/>
        <v>14039738.800000001</v>
      </c>
      <c r="W40" s="71">
        <v>11000000</v>
      </c>
      <c r="X40" s="71"/>
      <c r="Y40" s="71">
        <f t="shared" si="15"/>
        <v>2347956.8000000007</v>
      </c>
      <c r="Z40" s="71">
        <f t="shared" si="16"/>
        <v>117398</v>
      </c>
    </row>
    <row r="41" spans="1:26" s="53" customFormat="1" ht="21.75" customHeight="1" x14ac:dyDescent="0.25">
      <c r="A41" s="29">
        <v>27</v>
      </c>
      <c r="B41" s="63" t="s">
        <v>155</v>
      </c>
      <c r="C41" s="31" t="s">
        <v>30</v>
      </c>
      <c r="D41" s="32">
        <f t="shared" si="21"/>
        <v>5746000</v>
      </c>
      <c r="E41" s="33">
        <v>26</v>
      </c>
      <c r="F41" s="34">
        <v>4773600</v>
      </c>
      <c r="G41" s="34">
        <v>972400</v>
      </c>
      <c r="H41" s="35">
        <v>5083000</v>
      </c>
      <c r="I41" s="35">
        <v>730000</v>
      </c>
      <c r="J41" s="35">
        <v>6662502.6200000001</v>
      </c>
      <c r="K41" s="36">
        <f t="shared" si="19"/>
        <v>18221502.620000001</v>
      </c>
      <c r="L41" s="37">
        <f t="shared" si="22"/>
        <v>459680</v>
      </c>
      <c r="M41" s="38">
        <f t="shared" si="23"/>
        <v>86190</v>
      </c>
      <c r="N41" s="39">
        <f t="shared" si="24"/>
        <v>57460</v>
      </c>
      <c r="O41" s="40">
        <f t="shared" ref="O41" si="28">L41+M41+N41</f>
        <v>603330</v>
      </c>
      <c r="P41" s="38">
        <f t="shared" ref="P41" si="29">D41*17.5%</f>
        <v>1005549.9999999999</v>
      </c>
      <c r="Q41" s="38">
        <f t="shared" si="25"/>
        <v>172380</v>
      </c>
      <c r="R41" s="38">
        <f t="shared" si="26"/>
        <v>57460</v>
      </c>
      <c r="S41" s="40">
        <f t="shared" si="27"/>
        <v>1235390</v>
      </c>
      <c r="T41" s="41">
        <f>K41-O41</f>
        <v>17618172.620000001</v>
      </c>
      <c r="U41" s="42"/>
      <c r="V41" s="70">
        <f t="shared" ref="V41:V42" si="30">K41-I41</f>
        <v>17491502.620000001</v>
      </c>
      <c r="W41" s="71">
        <v>11000000</v>
      </c>
      <c r="X41" s="71"/>
      <c r="Y41" s="71">
        <f t="shared" ref="Y41:Y42" si="31">MAX(V41-O41-W41-X41,0)</f>
        <v>5888172.620000001</v>
      </c>
      <c r="Z41" s="71">
        <f t="shared" ref="Z41" si="32">ROUND(IF(Y41&gt;80000000,((Y41-80000000)*0.35+18150000),IF(AND(Y41&gt;52000000,Y41&lt;=80000000),((Y41-52000000)*0.3+9750000),IF(AND(Y41&gt;32000000,Y41&lt;=52000000),((Y41-32000000)*0.25+4750000),IF(AND(Y41&gt;18000000,Y41&lt;=32000000),((Y41-18000000)*0.2+1950000),IF(AND(Y41&gt;10000000,Y41&lt;=18000000),((Y41-10000000)*0.15+750000),IF(AND(Y41&gt;5000000,Y41&lt;=10000000),((Y41-5000000)*0.1+250000),(Y41*0.05))))))),0)</f>
        <v>338817</v>
      </c>
    </row>
    <row r="42" spans="1:26" s="53" customFormat="1" ht="21.75" customHeight="1" x14ac:dyDescent="0.25">
      <c r="A42" s="29">
        <v>28</v>
      </c>
      <c r="B42" s="30" t="s">
        <v>156</v>
      </c>
      <c r="C42" s="31" t="s">
        <v>136</v>
      </c>
      <c r="D42" s="32"/>
      <c r="E42" s="33"/>
      <c r="F42" s="34">
        <v>20000000</v>
      </c>
      <c r="G42" s="34"/>
      <c r="H42" s="35"/>
      <c r="I42" s="35"/>
      <c r="J42" s="35"/>
      <c r="K42" s="36">
        <f t="shared" si="19"/>
        <v>20000000</v>
      </c>
      <c r="L42" s="37"/>
      <c r="M42" s="38"/>
      <c r="N42" s="39"/>
      <c r="O42" s="40"/>
      <c r="P42" s="38"/>
      <c r="Q42" s="38"/>
      <c r="R42" s="38"/>
      <c r="S42" s="40"/>
      <c r="T42" s="41">
        <f>K42-O42</f>
        <v>20000000</v>
      </c>
      <c r="U42" s="42"/>
      <c r="V42" s="70">
        <f t="shared" si="30"/>
        <v>20000000</v>
      </c>
      <c r="W42" s="71"/>
      <c r="X42" s="71"/>
      <c r="Y42" s="71">
        <f t="shared" si="31"/>
        <v>20000000</v>
      </c>
      <c r="Z42" s="71">
        <f>Y42*0.1</f>
        <v>2000000</v>
      </c>
    </row>
    <row r="43" spans="1:26" s="26" customFormat="1" ht="21.75" customHeight="1" x14ac:dyDescent="0.25">
      <c r="A43" s="92" t="s">
        <v>38</v>
      </c>
      <c r="B43" s="93"/>
      <c r="C43" s="94"/>
      <c r="D43" s="51">
        <f>SUM(D44:D51)</f>
        <v>36238400</v>
      </c>
      <c r="E43" s="51">
        <f t="shared" ref="E43:Z43" si="33">SUM(E44:E51)</f>
        <v>156</v>
      </c>
      <c r="F43" s="51">
        <f t="shared" si="33"/>
        <v>29338200</v>
      </c>
      <c r="G43" s="51">
        <f t="shared" si="33"/>
        <v>6900200</v>
      </c>
      <c r="H43" s="51">
        <f t="shared" si="33"/>
        <v>22674600</v>
      </c>
      <c r="I43" s="51">
        <f>SUM(I44:I51)</f>
        <v>4380000</v>
      </c>
      <c r="J43" s="51">
        <f t="shared" si="33"/>
        <v>0</v>
      </c>
      <c r="K43" s="51">
        <f t="shared" si="33"/>
        <v>63293000</v>
      </c>
      <c r="L43" s="51">
        <f t="shared" si="33"/>
        <v>2899072</v>
      </c>
      <c r="M43" s="51">
        <f t="shared" si="33"/>
        <v>543576</v>
      </c>
      <c r="N43" s="51">
        <f t="shared" si="33"/>
        <v>362384</v>
      </c>
      <c r="O43" s="51">
        <f t="shared" si="33"/>
        <v>3805032</v>
      </c>
      <c r="P43" s="51">
        <f t="shared" si="33"/>
        <v>6341720</v>
      </c>
      <c r="Q43" s="51">
        <f t="shared" si="33"/>
        <v>1087152</v>
      </c>
      <c r="R43" s="51">
        <f t="shared" si="33"/>
        <v>362384</v>
      </c>
      <c r="S43" s="51">
        <f t="shared" si="33"/>
        <v>7791256</v>
      </c>
      <c r="T43" s="51">
        <f t="shared" si="33"/>
        <v>59487968</v>
      </c>
      <c r="U43" s="51">
        <f t="shared" si="33"/>
        <v>0</v>
      </c>
      <c r="V43" s="51">
        <f>SUM(V44:V51)</f>
        <v>58913000</v>
      </c>
      <c r="W43" s="51">
        <f t="shared" si="33"/>
        <v>66000000</v>
      </c>
      <c r="X43" s="51">
        <f t="shared" si="33"/>
        <v>4400000</v>
      </c>
      <c r="Y43" s="51">
        <f t="shared" si="33"/>
        <v>0</v>
      </c>
      <c r="Z43" s="51">
        <f t="shared" si="33"/>
        <v>0</v>
      </c>
    </row>
    <row r="44" spans="1:26" s="26" customFormat="1" ht="21.75" customHeight="1" x14ac:dyDescent="0.25">
      <c r="A44" s="29">
        <v>29</v>
      </c>
      <c r="B44" s="30" t="s">
        <v>42</v>
      </c>
      <c r="C44" s="31" t="s">
        <v>41</v>
      </c>
      <c r="D44" s="43">
        <f t="shared" ref="D44:D51" si="34">F44+G44</f>
        <v>5545400</v>
      </c>
      <c r="E44" s="33">
        <v>26</v>
      </c>
      <c r="F44" s="34">
        <v>4258600</v>
      </c>
      <c r="G44" s="34">
        <v>1286800</v>
      </c>
      <c r="H44" s="35">
        <v>3757000</v>
      </c>
      <c r="I44" s="35">
        <v>730000</v>
      </c>
      <c r="J44" s="35"/>
      <c r="K44" s="36">
        <f>F44+G44+H44+I44+J44</f>
        <v>10032400</v>
      </c>
      <c r="L44" s="37">
        <f t="shared" ref="L44:L51" si="35">D44*8%</f>
        <v>443632</v>
      </c>
      <c r="M44" s="38">
        <f t="shared" ref="M44:M51" si="36">D44*1.5%</f>
        <v>83181</v>
      </c>
      <c r="N44" s="39">
        <f t="shared" ref="N44:N51" si="37">D44*1%</f>
        <v>55454</v>
      </c>
      <c r="O44" s="40">
        <f t="shared" ref="O44:O51" si="38">L44+M44+N44</f>
        <v>582267</v>
      </c>
      <c r="P44" s="38">
        <f>D44*17.5%</f>
        <v>970444.99999999988</v>
      </c>
      <c r="Q44" s="38">
        <f>D44*3%</f>
        <v>166362</v>
      </c>
      <c r="R44" s="38">
        <f>D44*1%</f>
        <v>55454</v>
      </c>
      <c r="S44" s="40">
        <f t="shared" ref="S44:S51" si="39">P44+Q44+R44</f>
        <v>1192261</v>
      </c>
      <c r="T44" s="41">
        <f t="shared" ref="T44:T46" si="40">K44-O44</f>
        <v>9450133</v>
      </c>
      <c r="U44" s="42"/>
      <c r="V44" s="70">
        <f t="shared" si="1"/>
        <v>9302400</v>
      </c>
      <c r="W44" s="71">
        <v>11000000</v>
      </c>
      <c r="X44" s="71"/>
      <c r="Y44" s="71">
        <f t="shared" si="15"/>
        <v>0</v>
      </c>
      <c r="Z44" s="71">
        <f t="shared" si="16"/>
        <v>0</v>
      </c>
    </row>
    <row r="45" spans="1:26" s="26" customFormat="1" ht="21.75" customHeight="1" x14ac:dyDescent="0.25">
      <c r="A45" s="29">
        <v>30</v>
      </c>
      <c r="B45" s="30" t="s">
        <v>79</v>
      </c>
      <c r="C45" s="31" t="s">
        <v>40</v>
      </c>
      <c r="D45" s="43">
        <f t="shared" si="34"/>
        <v>6055400</v>
      </c>
      <c r="E45" s="33">
        <v>26</v>
      </c>
      <c r="F45" s="34">
        <v>4862000</v>
      </c>
      <c r="G45" s="34">
        <v>1193400</v>
      </c>
      <c r="H45" s="35">
        <v>3757000</v>
      </c>
      <c r="I45" s="35">
        <v>730000</v>
      </c>
      <c r="J45" s="35"/>
      <c r="K45" s="36">
        <f t="shared" ref="K45:K51" si="41">F45+G45+H45+I45+J45</f>
        <v>10542400</v>
      </c>
      <c r="L45" s="37">
        <f t="shared" si="35"/>
        <v>484432</v>
      </c>
      <c r="M45" s="38">
        <f t="shared" si="36"/>
        <v>90831</v>
      </c>
      <c r="N45" s="39">
        <f t="shared" si="37"/>
        <v>60554</v>
      </c>
      <c r="O45" s="40">
        <f t="shared" si="38"/>
        <v>635817</v>
      </c>
      <c r="P45" s="38">
        <f t="shared" ref="P45:P48" si="42">D45*17.5%</f>
        <v>1059695</v>
      </c>
      <c r="Q45" s="38">
        <f t="shared" ref="Q45:Q51" si="43">D45*3%</f>
        <v>181662</v>
      </c>
      <c r="R45" s="38">
        <f t="shared" ref="R45:R51" si="44">D45*1%</f>
        <v>60554</v>
      </c>
      <c r="S45" s="40">
        <f t="shared" si="39"/>
        <v>1301911</v>
      </c>
      <c r="T45" s="41">
        <f t="shared" si="40"/>
        <v>9906583</v>
      </c>
      <c r="U45" s="42"/>
      <c r="V45" s="70">
        <f t="shared" si="1"/>
        <v>9812400</v>
      </c>
      <c r="W45" s="71">
        <v>11000000</v>
      </c>
      <c r="X45" s="71">
        <f>4400000</f>
        <v>4400000</v>
      </c>
      <c r="Y45" s="71">
        <f t="shared" si="15"/>
        <v>0</v>
      </c>
      <c r="Z45" s="71">
        <f t="shared" si="16"/>
        <v>0</v>
      </c>
    </row>
    <row r="46" spans="1:26" s="14" customFormat="1" ht="21.75" customHeight="1" x14ac:dyDescent="0.25">
      <c r="A46" s="29">
        <v>31</v>
      </c>
      <c r="B46" s="30" t="s">
        <v>81</v>
      </c>
      <c r="C46" s="31" t="s">
        <v>41</v>
      </c>
      <c r="D46" s="43">
        <f t="shared" si="34"/>
        <v>5746000</v>
      </c>
      <c r="E46" s="33">
        <v>26</v>
      </c>
      <c r="F46" s="34">
        <v>4773600</v>
      </c>
      <c r="G46" s="34">
        <v>972400</v>
      </c>
      <c r="H46" s="35">
        <v>3757000</v>
      </c>
      <c r="I46" s="35">
        <v>730000</v>
      </c>
      <c r="J46" s="35"/>
      <c r="K46" s="36">
        <f t="shared" si="41"/>
        <v>10233000</v>
      </c>
      <c r="L46" s="37">
        <f t="shared" si="35"/>
        <v>459680</v>
      </c>
      <c r="M46" s="38">
        <f t="shared" si="36"/>
        <v>86190</v>
      </c>
      <c r="N46" s="39">
        <f t="shared" si="37"/>
        <v>57460</v>
      </c>
      <c r="O46" s="40">
        <f t="shared" si="38"/>
        <v>603330</v>
      </c>
      <c r="P46" s="38">
        <f t="shared" si="42"/>
        <v>1005549.9999999999</v>
      </c>
      <c r="Q46" s="38">
        <f t="shared" si="43"/>
        <v>172380</v>
      </c>
      <c r="R46" s="38">
        <f t="shared" si="44"/>
        <v>57460</v>
      </c>
      <c r="S46" s="40">
        <f t="shared" si="39"/>
        <v>1235390</v>
      </c>
      <c r="T46" s="41">
        <f t="shared" si="40"/>
        <v>9629670</v>
      </c>
      <c r="U46" s="42"/>
      <c r="V46" s="70">
        <f t="shared" si="1"/>
        <v>9503000</v>
      </c>
      <c r="W46" s="71">
        <v>11000000</v>
      </c>
      <c r="X46" s="71"/>
      <c r="Y46" s="71">
        <f t="shared" si="15"/>
        <v>0</v>
      </c>
      <c r="Z46" s="71">
        <f t="shared" si="16"/>
        <v>0</v>
      </c>
    </row>
    <row r="47" spans="1:26" s="14" customFormat="1" ht="21.75" customHeight="1" x14ac:dyDescent="0.25">
      <c r="A47" s="62"/>
      <c r="B47" s="30" t="s">
        <v>100</v>
      </c>
      <c r="C47" s="31" t="s">
        <v>117</v>
      </c>
      <c r="D47" s="43"/>
      <c r="E47" s="33"/>
      <c r="F47" s="34"/>
      <c r="G47" s="34"/>
      <c r="H47" s="35"/>
      <c r="I47" s="35"/>
      <c r="J47" s="35"/>
      <c r="K47" s="36"/>
      <c r="L47" s="37"/>
      <c r="M47" s="38"/>
      <c r="N47" s="39"/>
      <c r="O47" s="40"/>
      <c r="P47" s="38"/>
      <c r="Q47" s="38"/>
      <c r="R47" s="38"/>
      <c r="S47" s="40"/>
      <c r="T47" s="41"/>
      <c r="U47" s="42"/>
      <c r="V47" s="70"/>
      <c r="W47" s="71"/>
      <c r="X47" s="71"/>
      <c r="Y47" s="71">
        <f>MAX(V47-O47-W47-X47,0)</f>
        <v>0</v>
      </c>
      <c r="Z47" s="71">
        <f t="shared" si="16"/>
        <v>0</v>
      </c>
    </row>
    <row r="48" spans="1:26" s="14" customFormat="1" ht="17.25" customHeight="1" x14ac:dyDescent="0.25">
      <c r="A48" s="29">
        <v>32</v>
      </c>
      <c r="B48" s="30" t="s">
        <v>105</v>
      </c>
      <c r="C48" s="31" t="s">
        <v>40</v>
      </c>
      <c r="D48" s="43">
        <f t="shared" si="34"/>
        <v>6297200</v>
      </c>
      <c r="E48" s="33">
        <v>26</v>
      </c>
      <c r="F48" s="34">
        <v>5148000</v>
      </c>
      <c r="G48" s="34">
        <v>1149200</v>
      </c>
      <c r="H48" s="35">
        <v>3801200</v>
      </c>
      <c r="I48" s="35">
        <v>730000</v>
      </c>
      <c r="J48" s="35"/>
      <c r="K48" s="36">
        <f t="shared" si="41"/>
        <v>10828400</v>
      </c>
      <c r="L48" s="37">
        <f t="shared" si="35"/>
        <v>503776</v>
      </c>
      <c r="M48" s="38">
        <f t="shared" si="36"/>
        <v>94458</v>
      </c>
      <c r="N48" s="39">
        <f t="shared" si="37"/>
        <v>62972</v>
      </c>
      <c r="O48" s="40">
        <f t="shared" si="38"/>
        <v>661206</v>
      </c>
      <c r="P48" s="38">
        <f t="shared" si="42"/>
        <v>1102010</v>
      </c>
      <c r="Q48" s="38">
        <f t="shared" si="43"/>
        <v>188916</v>
      </c>
      <c r="R48" s="38">
        <f t="shared" si="44"/>
        <v>62972</v>
      </c>
      <c r="S48" s="40">
        <f t="shared" si="39"/>
        <v>1353898</v>
      </c>
      <c r="T48" s="41">
        <f>K48-O48</f>
        <v>10167194</v>
      </c>
      <c r="U48" s="42"/>
      <c r="V48" s="70">
        <f t="shared" si="1"/>
        <v>10098400</v>
      </c>
      <c r="W48" s="71">
        <v>11000000</v>
      </c>
      <c r="X48" s="71"/>
      <c r="Y48" s="71">
        <f t="shared" si="15"/>
        <v>0</v>
      </c>
      <c r="Z48" s="71">
        <f t="shared" si="16"/>
        <v>0</v>
      </c>
    </row>
    <row r="49" spans="1:26" s="14" customFormat="1" ht="17.25" customHeight="1" x14ac:dyDescent="0.25">
      <c r="A49" s="29"/>
      <c r="B49" s="30" t="s">
        <v>106</v>
      </c>
      <c r="C49" s="31" t="s">
        <v>40</v>
      </c>
      <c r="D49" s="43"/>
      <c r="E49" s="33"/>
      <c r="F49" s="34"/>
      <c r="G49" s="34"/>
      <c r="H49" s="35"/>
      <c r="I49" s="35"/>
      <c r="J49" s="35"/>
      <c r="K49" s="36"/>
      <c r="L49" s="37"/>
      <c r="M49" s="38"/>
      <c r="N49" s="39"/>
      <c r="O49" s="40"/>
      <c r="P49" s="38"/>
      <c r="Q49" s="38"/>
      <c r="R49" s="38"/>
      <c r="S49" s="40"/>
      <c r="T49" s="41"/>
      <c r="U49" s="42"/>
      <c r="V49" s="70"/>
      <c r="W49" s="71"/>
      <c r="X49" s="71"/>
      <c r="Y49" s="71"/>
      <c r="Z49" s="71"/>
    </row>
    <row r="50" spans="1:26" s="14" customFormat="1" ht="17.25" customHeight="1" x14ac:dyDescent="0.25">
      <c r="A50" s="62">
        <v>33</v>
      </c>
      <c r="B50" s="30" t="s">
        <v>124</v>
      </c>
      <c r="C50" s="31" t="s">
        <v>40</v>
      </c>
      <c r="D50" s="43">
        <f t="shared" si="34"/>
        <v>6297200</v>
      </c>
      <c r="E50" s="33">
        <v>26</v>
      </c>
      <c r="F50" s="34">
        <v>5148000</v>
      </c>
      <c r="G50" s="34">
        <v>1149200</v>
      </c>
      <c r="H50" s="35">
        <v>3801200</v>
      </c>
      <c r="I50" s="35">
        <v>730000</v>
      </c>
      <c r="J50" s="35"/>
      <c r="K50" s="36">
        <f t="shared" si="41"/>
        <v>10828400</v>
      </c>
      <c r="L50" s="37">
        <f t="shared" si="35"/>
        <v>503776</v>
      </c>
      <c r="M50" s="38">
        <f t="shared" si="36"/>
        <v>94458</v>
      </c>
      <c r="N50" s="39">
        <f t="shared" si="37"/>
        <v>62972</v>
      </c>
      <c r="O50" s="40">
        <f t="shared" si="38"/>
        <v>661206</v>
      </c>
      <c r="P50" s="38">
        <f>D50*17.5%</f>
        <v>1102010</v>
      </c>
      <c r="Q50" s="38">
        <f t="shared" si="43"/>
        <v>188916</v>
      </c>
      <c r="R50" s="38">
        <f t="shared" si="44"/>
        <v>62972</v>
      </c>
      <c r="S50" s="40">
        <f t="shared" si="39"/>
        <v>1353898</v>
      </c>
      <c r="T50" s="41">
        <f>K50-O50</f>
        <v>10167194</v>
      </c>
      <c r="U50" s="42"/>
      <c r="V50" s="70">
        <f t="shared" si="1"/>
        <v>10098400</v>
      </c>
      <c r="W50" s="71">
        <v>11000000</v>
      </c>
      <c r="X50" s="71"/>
      <c r="Y50" s="71">
        <f t="shared" ref="Y50:Y51" si="45">MAX(V50-O50-W50-X50,0)</f>
        <v>0</v>
      </c>
      <c r="Z50" s="71">
        <f t="shared" ref="Z50:Z51" si="46">ROUND(IF(Y50&gt;80000000,((Y50-80000000)*0.35+18150000),IF(AND(Y50&gt;52000000,Y50&lt;=80000000),((Y50-52000000)*0.3+9750000),IF(AND(Y50&gt;32000000,Y50&lt;=52000000),((Y50-32000000)*0.25+4750000),IF(AND(Y50&gt;18000000,Y50&lt;=32000000),((Y50-18000000)*0.2+1950000),IF(AND(Y50&gt;10000000,Y50&lt;=18000000),((Y50-10000000)*0.15+750000),IF(AND(Y50&gt;5000000,Y50&lt;=10000000),((Y50-5000000)*0.1+250000),(Y50*0.05))))))),0)</f>
        <v>0</v>
      </c>
    </row>
    <row r="51" spans="1:26" s="14" customFormat="1" ht="17.25" customHeight="1" x14ac:dyDescent="0.25">
      <c r="A51" s="62">
        <v>34</v>
      </c>
      <c r="B51" s="30" t="s">
        <v>130</v>
      </c>
      <c r="C51" s="31" t="s">
        <v>40</v>
      </c>
      <c r="D51" s="43">
        <f t="shared" si="34"/>
        <v>6297200</v>
      </c>
      <c r="E51" s="33">
        <v>26</v>
      </c>
      <c r="F51" s="34">
        <v>5148000</v>
      </c>
      <c r="G51" s="34">
        <v>1149200</v>
      </c>
      <c r="H51" s="35">
        <v>3801200</v>
      </c>
      <c r="I51" s="35">
        <v>730000</v>
      </c>
      <c r="J51" s="35"/>
      <c r="K51" s="36">
        <f t="shared" si="41"/>
        <v>10828400</v>
      </c>
      <c r="L51" s="37">
        <f t="shared" si="35"/>
        <v>503776</v>
      </c>
      <c r="M51" s="38">
        <f t="shared" si="36"/>
        <v>94458</v>
      </c>
      <c r="N51" s="39">
        <f t="shared" si="37"/>
        <v>62972</v>
      </c>
      <c r="O51" s="40">
        <f t="shared" si="38"/>
        <v>661206</v>
      </c>
      <c r="P51" s="38">
        <f>D51*17.5%</f>
        <v>1102010</v>
      </c>
      <c r="Q51" s="38">
        <f t="shared" si="43"/>
        <v>188916</v>
      </c>
      <c r="R51" s="38">
        <f t="shared" si="44"/>
        <v>62972</v>
      </c>
      <c r="S51" s="40">
        <f t="shared" si="39"/>
        <v>1353898</v>
      </c>
      <c r="T51" s="41">
        <f>K51-O51</f>
        <v>10167194</v>
      </c>
      <c r="U51" s="42"/>
      <c r="V51" s="70">
        <f t="shared" si="1"/>
        <v>10098400</v>
      </c>
      <c r="W51" s="71">
        <v>11000000</v>
      </c>
      <c r="X51" s="71"/>
      <c r="Y51" s="71">
        <f t="shared" si="45"/>
        <v>0</v>
      </c>
      <c r="Z51" s="71">
        <f t="shared" si="46"/>
        <v>0</v>
      </c>
    </row>
    <row r="52" spans="1:26" s="14" customFormat="1" ht="19.5" customHeight="1" x14ac:dyDescent="0.25">
      <c r="A52" s="95" t="s">
        <v>43</v>
      </c>
      <c r="B52" s="96"/>
      <c r="C52" s="46"/>
      <c r="D52" s="47">
        <f t="shared" ref="D52:U52" si="47">D11+D13+D15+D43</f>
        <v>207013000</v>
      </c>
      <c r="E52" s="47">
        <f t="shared" si="47"/>
        <v>858</v>
      </c>
      <c r="F52" s="47">
        <f t="shared" si="47"/>
        <v>205395600</v>
      </c>
      <c r="G52" s="47">
        <f t="shared" si="47"/>
        <v>36617400</v>
      </c>
      <c r="H52" s="47">
        <f t="shared" si="47"/>
        <v>130787800</v>
      </c>
      <c r="I52" s="47">
        <f t="shared" si="47"/>
        <v>22630000</v>
      </c>
      <c r="J52" s="47">
        <f t="shared" si="47"/>
        <v>134446071.81</v>
      </c>
      <c r="K52" s="47">
        <f t="shared" si="47"/>
        <v>516711671.81</v>
      </c>
      <c r="L52" s="47">
        <f t="shared" si="47"/>
        <v>16561040</v>
      </c>
      <c r="M52" s="47">
        <f t="shared" si="47"/>
        <v>3105195</v>
      </c>
      <c r="N52" s="47">
        <f t="shared" si="47"/>
        <v>2070130</v>
      </c>
      <c r="O52" s="47">
        <f t="shared" si="47"/>
        <v>21736365</v>
      </c>
      <c r="P52" s="47">
        <f t="shared" si="47"/>
        <v>36227275</v>
      </c>
      <c r="Q52" s="47">
        <f t="shared" si="47"/>
        <v>6210390</v>
      </c>
      <c r="R52" s="47">
        <f t="shared" si="47"/>
        <v>2070130</v>
      </c>
      <c r="S52" s="47">
        <f t="shared" si="47"/>
        <v>44507795</v>
      </c>
      <c r="T52" s="47">
        <f t="shared" si="47"/>
        <v>496357652.81</v>
      </c>
      <c r="U52" s="47">
        <f t="shared" si="47"/>
        <v>0</v>
      </c>
      <c r="V52" s="47">
        <f>V11+V13+V15+V43</f>
        <v>494081671.81</v>
      </c>
      <c r="W52" s="47">
        <f t="shared" ref="W52" si="48">W11+W13+W15+W43</f>
        <v>341000000</v>
      </c>
      <c r="X52" s="47">
        <f>X11+X13+X15+X43</f>
        <v>105600000</v>
      </c>
      <c r="Y52" s="47">
        <f>Y11+Y13+Y15+Y43</f>
        <v>79323371.814999998</v>
      </c>
      <c r="Z52" s="47">
        <f>Z11+Z13+Z15+Z43</f>
        <v>5804985</v>
      </c>
    </row>
    <row r="53" spans="1:26" s="17" customFormat="1" ht="19.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L53" s="16"/>
      <c r="M53" s="16"/>
      <c r="N53" s="84" t="s">
        <v>151</v>
      </c>
      <c r="O53" s="84"/>
      <c r="P53" s="84"/>
      <c r="Q53" s="84"/>
      <c r="R53" s="84"/>
      <c r="S53" s="84"/>
      <c r="T53" s="84"/>
      <c r="U53" s="16"/>
      <c r="W53" s="72"/>
      <c r="X53" s="72"/>
      <c r="Y53" s="72"/>
      <c r="Z53" s="72"/>
    </row>
    <row r="54" spans="1:26" s="17" customFormat="1" ht="19.5" customHeight="1" x14ac:dyDescent="0.25">
      <c r="A54" s="10" t="s">
        <v>44</v>
      </c>
      <c r="B54" s="16"/>
      <c r="C54" s="16"/>
      <c r="D54" s="16"/>
      <c r="E54" s="10"/>
      <c r="F54" s="16"/>
      <c r="G54" s="10" t="s">
        <v>45</v>
      </c>
      <c r="H54" s="16"/>
      <c r="I54" s="16"/>
      <c r="J54" s="16"/>
      <c r="K54" s="16"/>
      <c r="M54" s="10"/>
      <c r="N54" s="97" t="s">
        <v>46</v>
      </c>
      <c r="O54" s="97"/>
      <c r="P54" s="97"/>
      <c r="Q54" s="97"/>
      <c r="R54" s="97"/>
      <c r="S54" s="97"/>
      <c r="T54" s="97"/>
      <c r="U54" s="16"/>
      <c r="W54" s="72"/>
      <c r="X54" s="72"/>
      <c r="Y54" s="72"/>
      <c r="Z54" s="72"/>
    </row>
    <row r="55" spans="1:26" s="17" customFormat="1" ht="19.5" customHeight="1" x14ac:dyDescent="0.25">
      <c r="A55" s="11" t="s">
        <v>47</v>
      </c>
      <c r="B55" s="16"/>
      <c r="C55" s="16"/>
      <c r="D55" s="11"/>
      <c r="E55" s="11"/>
      <c r="F55" s="11"/>
      <c r="G55" s="11" t="s">
        <v>48</v>
      </c>
      <c r="H55" s="11"/>
      <c r="I55" s="16"/>
      <c r="J55" s="16"/>
      <c r="K55" s="16"/>
      <c r="L55" s="16"/>
      <c r="M55" s="16"/>
      <c r="N55" s="84" t="s">
        <v>47</v>
      </c>
      <c r="O55" s="84"/>
      <c r="P55" s="84"/>
      <c r="Q55" s="84"/>
      <c r="R55" s="84"/>
      <c r="S55" s="84"/>
      <c r="T55" s="84"/>
      <c r="U55" s="16"/>
      <c r="W55" s="72"/>
      <c r="X55" s="72"/>
      <c r="Y55" s="72"/>
      <c r="Z55" s="72"/>
    </row>
    <row r="56" spans="1:26" s="17" customFormat="1" ht="19.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8"/>
      <c r="U56" s="16"/>
      <c r="W56" s="72"/>
      <c r="X56" s="72"/>
      <c r="Y56" s="72"/>
      <c r="Z56" s="72"/>
    </row>
    <row r="57" spans="1:26" s="17" customFormat="1" ht="19.5" customHeight="1" x14ac:dyDescent="0.25">
      <c r="A57" s="16"/>
      <c r="B57" s="16"/>
      <c r="C57" s="16"/>
      <c r="D57" s="16"/>
      <c r="E57" s="16"/>
      <c r="F57" s="16"/>
      <c r="G57" s="16"/>
      <c r="H57" s="16"/>
      <c r="I57" s="15"/>
      <c r="J57" s="15"/>
      <c r="K57" s="16"/>
      <c r="L57" s="16"/>
      <c r="M57" s="16"/>
      <c r="N57" s="16"/>
      <c r="O57" s="16"/>
      <c r="P57" s="16"/>
      <c r="Q57" s="16"/>
      <c r="R57" s="16"/>
      <c r="S57" s="16"/>
      <c r="T57" s="18"/>
      <c r="U57" s="16"/>
      <c r="W57" s="73"/>
      <c r="X57" s="73"/>
      <c r="Y57" s="73"/>
      <c r="Z57" s="73"/>
    </row>
    <row r="58" spans="1:26" ht="19.5" customHeight="1" x14ac:dyDescent="0.25">
      <c r="A58" s="16"/>
      <c r="B58" s="16"/>
      <c r="C58" s="16"/>
      <c r="D58" s="16"/>
      <c r="E58" s="16"/>
      <c r="F58" s="19"/>
      <c r="G58" s="16"/>
      <c r="H58" s="16"/>
      <c r="I58" s="16"/>
      <c r="J58" s="16"/>
      <c r="K58" s="18"/>
      <c r="L58" s="20"/>
      <c r="M58" s="21"/>
      <c r="O58" s="16"/>
      <c r="P58" s="16"/>
      <c r="Q58" s="16"/>
      <c r="R58" s="16"/>
      <c r="S58" s="16"/>
      <c r="T58" s="16"/>
      <c r="U58" s="12"/>
      <c r="W58" s="17"/>
      <c r="X58" s="17"/>
      <c r="Y58" s="17"/>
      <c r="Z58" s="17"/>
    </row>
    <row r="59" spans="1:26" ht="17.25" customHeight="1" x14ac:dyDescent="0.25">
      <c r="K59" s="22"/>
      <c r="L59" s="23"/>
      <c r="M59" s="24"/>
      <c r="W59" s="17"/>
      <c r="X59" s="17"/>
      <c r="Y59" s="17"/>
      <c r="Z59" s="17"/>
    </row>
    <row r="60" spans="1:26" x14ac:dyDescent="0.25">
      <c r="K60" s="22"/>
      <c r="W60" s="17"/>
      <c r="X60" s="17"/>
      <c r="Y60" s="17"/>
      <c r="Z60" s="17"/>
    </row>
    <row r="61" spans="1:26" x14ac:dyDescent="0.25">
      <c r="I61" s="25"/>
      <c r="J61" s="25"/>
      <c r="W61" s="17"/>
      <c r="X61" s="17"/>
      <c r="Y61" s="17"/>
      <c r="Z61" s="17"/>
    </row>
    <row r="62" spans="1:26" x14ac:dyDescent="0.25">
      <c r="D62" s="23"/>
      <c r="F62" s="22"/>
      <c r="G62" s="23"/>
      <c r="W62" s="17"/>
      <c r="X62" s="17"/>
      <c r="Y62" s="17"/>
      <c r="Z62" s="17"/>
    </row>
    <row r="63" spans="1:26" x14ac:dyDescent="0.25">
      <c r="F63" s="27"/>
    </row>
    <row r="65" spans="14:14" x14ac:dyDescent="0.25">
      <c r="N65" s="23"/>
    </row>
  </sheetData>
  <mergeCells count="28">
    <mergeCell ref="A52:B52"/>
    <mergeCell ref="N53:T53"/>
    <mergeCell ref="N54:T54"/>
    <mergeCell ref="N55:T55"/>
    <mergeCell ref="W8:W9"/>
    <mergeCell ref="J8:J9"/>
    <mergeCell ref="T8:T9"/>
    <mergeCell ref="X8:X9"/>
    <mergeCell ref="Y8:Y9"/>
    <mergeCell ref="Z8:Z9"/>
    <mergeCell ref="A43:C43"/>
    <mergeCell ref="K8:K9"/>
    <mergeCell ref="L8:O8"/>
    <mergeCell ref="P8:S8"/>
    <mergeCell ref="U8:U9"/>
    <mergeCell ref="V8:V9"/>
    <mergeCell ref="A8:A9"/>
    <mergeCell ref="B8:B9"/>
    <mergeCell ref="C8:C9"/>
    <mergeCell ref="D8:D9"/>
    <mergeCell ref="E8:E9"/>
    <mergeCell ref="F8:F9"/>
    <mergeCell ref="G8:I8"/>
    <mergeCell ref="A5:U5"/>
    <mergeCell ref="A6:U6"/>
    <mergeCell ref="A15:C15"/>
    <mergeCell ref="A11:C11"/>
    <mergeCell ref="A13:C13"/>
  </mergeCells>
  <hyperlinks>
    <hyperlink ref="B12" r:id="rId1" display="javascript:submitform('8460891335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TONGLUONG</vt:lpstr>
      <vt:lpstr>TONGBHXH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2024-01-12T03:45:05Z</dcterms:modified>
</cp:coreProperties>
</file>