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70" windowHeight="13020" tabRatio="652"/>
  </bookViews>
  <sheets>
    <sheet name="TỔNG HỢP" sheetId="1" r:id="rId1"/>
    <sheet name="WIN" sheetId="43" r:id="rId2"/>
    <sheet name="STTHANHCONG" sheetId="135" r:id="rId3"/>
    <sheet name="DALATFARM" sheetId="134" r:id="rId4"/>
    <sheet name="TERRA" sheetId="133" r:id="rId5"/>
    <sheet name="AEON" sheetId="2" r:id="rId6"/>
    <sheet name="BRG" sheetId="44" r:id="rId7"/>
    <sheet name="CIRCLEK MB" sheetId="45" r:id="rId8"/>
    <sheet name="CIRCLEK MN" sheetId="136" r:id="rId9"/>
    <sheet name="COOP" sheetId="46" r:id="rId10"/>
    <sheet name="BIGC" sheetId="47" r:id="rId11"/>
    <sheet name="GS25" sheetId="48" r:id="rId12"/>
    <sheet name="LOTTE" sheetId="49" r:id="rId13"/>
    <sheet name="MEGA" sheetId="50" r:id="rId14"/>
    <sheet name="SATRA-004" sheetId="51" r:id="rId15"/>
    <sheet name="SATRA-025" sheetId="53" r:id="rId16"/>
    <sheet name="SATRA-020" sheetId="52" r:id="rId17"/>
    <sheet name="SATRA-027" sheetId="54" r:id="rId18"/>
    <sheet name="DTH" sheetId="56" r:id="rId19"/>
    <sheet name="TMART" sheetId="57" r:id="rId20"/>
    <sheet name="SIBA" sheetId="58" r:id="rId21"/>
    <sheet name="NHATMINH" sheetId="59" r:id="rId22"/>
    <sheet name="VIỆT Ý" sheetId="60" r:id="rId23"/>
    <sheet name="NOVA" sheetId="63" r:id="rId24"/>
    <sheet name="VIỆT Ý NT" sheetId="61" r:id="rId25"/>
    <sheet name="LARIA" sheetId="62" r:id="rId26"/>
    <sheet name="SEVEN" sheetId="64" r:id="rId27"/>
    <sheet name="SAIGONHD" sheetId="65" r:id="rId28"/>
    <sheet name="SÀNH ĐIỆU" sheetId="66" r:id="rId29"/>
    <sheet name="CLEVERFOOD" sheetId="67" r:id="rId30"/>
    <sheet name="UNO" sheetId="68" r:id="rId31"/>
    <sheet name="UNIT" sheetId="71" r:id="rId32"/>
    <sheet name="RETAIL" sheetId="72" r:id="rId33"/>
    <sheet name="SGMART" sheetId="73" state="hidden" r:id="rId34"/>
    <sheet name="SHINSHEN" sheetId="74" r:id="rId35"/>
    <sheet name="SUNSHINE" sheetId="75" r:id="rId36"/>
    <sheet name="V+ HÒA BÌNH" sheetId="76" r:id="rId37"/>
    <sheet name="NHẬT THƯƠNG" sheetId="77" state="hidden" r:id="rId38"/>
    <sheet name="CGP" sheetId="78" state="hidden" r:id="rId39"/>
    <sheet name="EASYMART" sheetId="80" r:id="rId40"/>
    <sheet name="BÍCH CẦU" sheetId="81" state="hidden" r:id="rId41"/>
    <sheet name="BONBON" sheetId="82" state="hidden" r:id="rId42"/>
    <sheet name="EPCOSTORE" sheetId="84" state="hidden" r:id="rId43"/>
    <sheet name="FANSIPAN" sheetId="86" state="hidden" r:id="rId44"/>
    <sheet name="FINEMART" sheetId="87" r:id="rId45"/>
    <sheet name="FOODMART" sheetId="88" state="hidden" r:id="rId46"/>
    <sheet name="GDVN" sheetId="89" r:id="rId47"/>
    <sheet name="GRELI" sheetId="90" state="hidden" r:id="rId48"/>
    <sheet name="GTGL" sheetId="91" r:id="rId49"/>
    <sheet name="HÀ ĐĂNG" sheetId="92" state="hidden" r:id="rId50"/>
    <sheet name="HAPPYMART" sheetId="93" r:id="rId51"/>
    <sheet name="HIỀN LƯƠNG" sheetId="94" state="hidden" r:id="rId52"/>
    <sheet name="TOMO" sheetId="96" r:id="rId53"/>
    <sheet name="HƯNG THỊNH" sheetId="98" state="hidden" r:id="rId54"/>
    <sheet name="INTIMEX ĐN" sheetId="99" r:id="rId55"/>
    <sheet name="JMART QT" sheetId="100" r:id="rId56"/>
    <sheet name="KA" sheetId="101" r:id="rId57"/>
    <sheet name="KINGFOOD" sheetId="102" r:id="rId58"/>
    <sheet name="K&amp;K" sheetId="103" r:id="rId59"/>
    <sheet name="EAST" sheetId="123" state="hidden" r:id="rId60"/>
    <sheet name="HNT" sheetId="104" r:id="rId61"/>
    <sheet name="LOCAL" sheetId="105" r:id="rId62"/>
    <sheet name="MDBD" sheetId="106" state="hidden" r:id="rId63"/>
    <sheet name="MEKONG" sheetId="107" r:id="rId64"/>
    <sheet name="MINH CẦU" sheetId="108" r:id="rId65"/>
    <sheet name="NGUYỄN CỬU" sheetId="109" state="hidden" r:id="rId66"/>
    <sheet name="OCOPFOOD" sheetId="110" state="hidden" r:id="rId67"/>
    <sheet name="PTMART" sheetId="111" r:id="rId68"/>
    <sheet name="SMARTGAP" sheetId="112" state="hidden" r:id="rId69"/>
    <sheet name="SONG NGỌC" sheetId="113" state="hidden" r:id="rId70"/>
    <sheet name="SONG NGUYỄN" sheetId="114" state="hidden" r:id="rId71"/>
    <sheet name="ANH ĐĂNG TMART" sheetId="116" r:id="rId72"/>
    <sheet name="TTMFARM" sheetId="117" r:id="rId73"/>
    <sheet name="THFOOD" sheetId="118" state="hidden" r:id="rId74"/>
    <sheet name="XDSG" sheetId="120" state="hidden" r:id="rId75"/>
    <sheet name="OKONO" sheetId="124" r:id="rId76"/>
    <sheet name="VITALGO" sheetId="125" r:id="rId77"/>
    <sheet name="TELIO" sheetId="126" r:id="rId78"/>
    <sheet name="KMARKET" sheetId="129" r:id="rId79"/>
    <sheet name="TOMITA" sheetId="130" r:id="rId80"/>
  </sheets>
  <definedNames>
    <definedName name="_xlnm._FilterDatabase" localSheetId="0" hidden="1">'TỔNG HỢP'!$A$2:$S$59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24" l="1"/>
  <c r="D10" i="134" l="1"/>
  <c r="E10" i="134" s="1"/>
  <c r="F10" i="134" s="1"/>
  <c r="G10" i="134" s="1"/>
  <c r="H10" i="134" s="1"/>
  <c r="I10" i="134" s="1"/>
  <c r="J10" i="134" s="1"/>
  <c r="K10" i="134" s="1"/>
  <c r="L10" i="134" s="1"/>
  <c r="M10" i="134" s="1"/>
  <c r="C10" i="134"/>
  <c r="M10" i="2" l="1"/>
  <c r="M10" i="87"/>
  <c r="M10" i="117"/>
  <c r="L9" i="67"/>
  <c r="M10" i="60" l="1"/>
  <c r="L10" i="93"/>
  <c r="M10" i="93" s="1"/>
  <c r="L10" i="80" l="1"/>
  <c r="M10" i="80" s="1"/>
  <c r="L10" i="130" l="1"/>
  <c r="M10" i="130"/>
  <c r="M10" i="66"/>
  <c r="N10" i="66" s="1"/>
  <c r="N10" i="43"/>
  <c r="C6" i="44"/>
  <c r="M10" i="46" l="1"/>
  <c r="N3" i="46"/>
  <c r="M5" i="108" l="1"/>
  <c r="M10" i="136" l="1"/>
  <c r="M10" i="45" l="1"/>
  <c r="M10" i="65" l="1"/>
  <c r="M10" i="47" l="1"/>
  <c r="M10" i="129" l="1"/>
  <c r="M10" i="64" l="1"/>
  <c r="M10" i="62" l="1"/>
  <c r="M10" i="96" l="1"/>
  <c r="M10" i="89" l="1"/>
  <c r="N10" i="89"/>
  <c r="M10" i="50" l="1"/>
  <c r="M10" i="57" l="1"/>
  <c r="M10" i="111"/>
  <c r="M10" i="108" l="1"/>
  <c r="M10" i="58" l="1"/>
  <c r="M10" i="61" l="1"/>
  <c r="M10" i="53" l="1"/>
  <c r="M10" i="52" l="1"/>
  <c r="M10" i="54" l="1"/>
  <c r="M10" i="51" l="1"/>
  <c r="M10" i="116" l="1"/>
  <c r="M10" i="125" l="1"/>
  <c r="M10" i="75" l="1"/>
  <c r="M10" i="59" l="1"/>
  <c r="L10" i="56" l="1"/>
  <c r="M10" i="71" l="1"/>
  <c r="L10" i="87" l="1"/>
  <c r="L10" i="72"/>
  <c r="L10" i="63"/>
  <c r="L10" i="2"/>
  <c r="L10" i="66"/>
  <c r="L10" i="43"/>
  <c r="L10" i="124" l="1"/>
  <c r="L10" i="57"/>
  <c r="L10" i="58" l="1"/>
  <c r="L10" i="129" l="1"/>
  <c r="L10" i="61" l="1"/>
  <c r="L10" i="62" l="1"/>
  <c r="L10" i="65" l="1"/>
  <c r="L10" i="64" l="1"/>
  <c r="L10" i="108" l="1"/>
  <c r="L10" i="96" l="1"/>
  <c r="L10" i="103" l="1"/>
  <c r="M10" i="103" s="1"/>
  <c r="L10" i="107"/>
  <c r="M10" i="107" s="1"/>
  <c r="L10" i="99" l="1"/>
  <c r="L10" i="89" l="1"/>
  <c r="L10" i="100" l="1"/>
  <c r="M10" i="100" s="1"/>
  <c r="M10" i="48" l="1"/>
  <c r="L10" i="48"/>
  <c r="L10" i="102" l="1"/>
  <c r="M10" i="102" s="1"/>
  <c r="L10" i="53" l="1"/>
  <c r="L10" i="51" l="1"/>
  <c r="L10" i="52" l="1"/>
  <c r="L10" i="54" l="1"/>
  <c r="L10" i="47" l="1"/>
  <c r="L10" i="136" l="1"/>
  <c r="L10" i="125" l="1"/>
  <c r="L10" i="75" l="1"/>
  <c r="G13" i="75" l="1"/>
  <c r="F13" i="75"/>
  <c r="E13" i="75"/>
  <c r="D13" i="75"/>
  <c r="C13" i="75"/>
  <c r="H13" i="75"/>
  <c r="I13" i="75"/>
  <c r="K10" i="57" l="1"/>
  <c r="K6" i="57"/>
  <c r="K10" i="111" l="1"/>
  <c r="L10" i="111" s="1"/>
  <c r="K10" i="96" l="1"/>
  <c r="K10" i="107" l="1"/>
  <c r="J10" i="133"/>
  <c r="K10" i="133" s="1"/>
  <c r="K10" i="103"/>
  <c r="K10" i="135"/>
  <c r="K10" i="100" l="1"/>
  <c r="K10" i="89" l="1"/>
  <c r="K10" i="99" l="1"/>
  <c r="J10" i="99"/>
  <c r="K10" i="102" l="1"/>
  <c r="M29" i="1" s="1"/>
  <c r="J10" i="102"/>
  <c r="K10" i="48" l="1"/>
  <c r="J10" i="48"/>
  <c r="I10" i="130" l="1"/>
  <c r="J10" i="130" s="1"/>
  <c r="K10" i="130" s="1"/>
  <c r="I10" i="67"/>
  <c r="J10" i="67" s="1"/>
  <c r="K10" i="67" s="1"/>
  <c r="L10" i="67" s="1"/>
  <c r="M10" i="67" s="1"/>
  <c r="I10" i="56" l="1"/>
  <c r="J10" i="56" s="1"/>
  <c r="K10" i="56" s="1"/>
  <c r="H10" i="93" l="1"/>
  <c r="I10" i="93"/>
  <c r="J10" i="93"/>
  <c r="K10" i="93"/>
  <c r="H10" i="76"/>
  <c r="I10" i="76" s="1"/>
  <c r="J10" i="76" s="1"/>
  <c r="K10" i="76" s="1"/>
  <c r="H10" i="68"/>
  <c r="I10" i="68" s="1"/>
  <c r="J10" i="68" s="1"/>
  <c r="K10" i="68" s="1"/>
  <c r="J6" i="117"/>
  <c r="I10" i="117"/>
  <c r="J10" i="117"/>
  <c r="K10" i="117" s="1"/>
  <c r="L10" i="117" s="1"/>
  <c r="I10" i="104" l="1"/>
  <c r="J10" i="104"/>
  <c r="K10" i="104" s="1"/>
  <c r="I10" i="87"/>
  <c r="J10" i="87" s="1"/>
  <c r="K10" i="87" s="1"/>
  <c r="I10" i="72"/>
  <c r="J10" i="72" s="1"/>
  <c r="K10" i="72" s="1"/>
  <c r="I10" i="63"/>
  <c r="J10" i="63" s="1"/>
  <c r="K10" i="63" s="1"/>
  <c r="I10" i="2" l="1"/>
  <c r="J10" i="2" s="1"/>
  <c r="K10" i="2" s="1"/>
  <c r="I10" i="66" l="1"/>
  <c r="J10" i="66" s="1"/>
  <c r="K10" i="66" s="1"/>
  <c r="K10" i="124" l="1"/>
  <c r="K10" i="61" l="1"/>
  <c r="K10" i="64" l="1"/>
  <c r="K10" i="62" l="1"/>
  <c r="K10" i="108" l="1"/>
  <c r="K10" i="65" l="1"/>
  <c r="K10" i="58" l="1"/>
  <c r="K10" i="50" l="1"/>
  <c r="L10" i="50" s="1"/>
  <c r="K10" i="53" l="1"/>
  <c r="K10" i="51" l="1"/>
  <c r="K10" i="52" l="1"/>
  <c r="K10" i="54" l="1"/>
  <c r="K10" i="125" l="1"/>
  <c r="K15" i="125" s="1"/>
  <c r="K10" i="136" l="1"/>
  <c r="K10" i="45" l="1"/>
  <c r="L10" i="45" s="1"/>
  <c r="K10" i="47" l="1"/>
  <c r="K10" i="59" l="1"/>
  <c r="L10" i="59" s="1"/>
  <c r="K10" i="75" l="1"/>
  <c r="K7" i="59" l="1"/>
  <c r="J10" i="57" l="1"/>
  <c r="J10" i="58" l="1"/>
  <c r="B10" i="102" l="1"/>
  <c r="C10" i="102" s="1"/>
  <c r="D10" i="102" s="1"/>
  <c r="E10" i="102" s="1"/>
  <c r="F10" i="102" s="1"/>
  <c r="G10" i="102" s="1"/>
  <c r="H10" i="102" s="1"/>
  <c r="I10" i="102" s="1"/>
  <c r="J10" i="96" l="1"/>
  <c r="J10" i="135"/>
  <c r="J10" i="103" l="1"/>
  <c r="J10" i="100" l="1"/>
  <c r="J10" i="107" l="1"/>
  <c r="J10" i="89" l="1"/>
  <c r="K10" i="129" l="1"/>
  <c r="J10" i="129"/>
  <c r="J6" i="124" l="1"/>
  <c r="J10" i="124"/>
  <c r="J10" i="111" l="1"/>
  <c r="J10" i="64" l="1"/>
  <c r="J10" i="65" l="1"/>
  <c r="J10" i="62" l="1"/>
  <c r="I10" i="62" l="1"/>
  <c r="J10" i="61" l="1"/>
  <c r="J10" i="136" l="1"/>
  <c r="J10" i="45" l="1"/>
  <c r="J10" i="53" l="1"/>
  <c r="J10" i="51" l="1"/>
  <c r="J10" i="52" l="1"/>
  <c r="J10" i="54" l="1"/>
  <c r="J10" i="47" l="1"/>
  <c r="J10" i="50" l="1"/>
  <c r="J10" i="125" l="1"/>
  <c r="J10" i="75" l="1"/>
  <c r="J10" i="59" l="1"/>
  <c r="J10" i="108" l="1"/>
  <c r="J7" i="124" l="1"/>
  <c r="I10" i="129" l="1"/>
  <c r="I10" i="58" l="1"/>
  <c r="I10" i="47" l="1"/>
  <c r="I10" i="61" l="1"/>
  <c r="I10" i="111" l="1"/>
  <c r="I10" i="65" l="1"/>
  <c r="I10" i="45" l="1"/>
  <c r="I10" i="136" l="1"/>
  <c r="I10" i="135" l="1"/>
  <c r="I10" i="96" l="1"/>
  <c r="I10" i="103" l="1"/>
  <c r="N5" i="133" l="1"/>
  <c r="N9" i="133"/>
  <c r="C10" i="133"/>
  <c r="D10" i="133"/>
  <c r="E10" i="133" s="1"/>
  <c r="F10" i="133" s="1"/>
  <c r="G10" i="133" s="1"/>
  <c r="H10" i="133" s="1"/>
  <c r="I10" i="133" s="1"/>
  <c r="B10" i="133"/>
  <c r="I10" i="100" l="1"/>
  <c r="I10" i="107" l="1"/>
  <c r="I10" i="89" l="1"/>
  <c r="I10" i="99" l="1"/>
  <c r="I10" i="48" l="1"/>
  <c r="I10" i="50" l="1"/>
  <c r="I10" i="57" l="1"/>
  <c r="I10" i="53" l="1"/>
  <c r="I10" i="51" l="1"/>
  <c r="I10" i="52" l="1"/>
  <c r="I10" i="54" l="1"/>
  <c r="I10" i="125" l="1"/>
  <c r="I10" i="75" l="1"/>
  <c r="I10" i="59" l="1"/>
  <c r="I9" i="116" l="1"/>
  <c r="H10" i="108" l="1"/>
  <c r="I10" i="124" l="1"/>
  <c r="I7" i="124" l="1"/>
  <c r="H10" i="135" l="1"/>
  <c r="H10" i="96" l="1"/>
  <c r="H10" i="103" l="1"/>
  <c r="H10" i="100" l="1"/>
  <c r="D10" i="100"/>
  <c r="H10" i="107" l="1"/>
  <c r="G10" i="107"/>
  <c r="H10" i="89" l="1"/>
  <c r="H10" i="99" l="1"/>
  <c r="G10" i="99"/>
  <c r="H10" i="48" l="1"/>
  <c r="E10" i="48"/>
  <c r="F10" i="48" s="1"/>
  <c r="G10" i="48" s="1"/>
  <c r="F14" i="108" l="1"/>
  <c r="E14" i="108"/>
  <c r="B14" i="108"/>
  <c r="D14" i="108"/>
  <c r="C14" i="108"/>
  <c r="H10" i="136" l="1"/>
  <c r="H10" i="45" l="1"/>
  <c r="H10" i="129" l="1"/>
  <c r="I10" i="108" l="1"/>
  <c r="H10" i="111" l="1"/>
  <c r="H10" i="57" l="1"/>
  <c r="H10" i="58" l="1"/>
  <c r="H10" i="61" l="1"/>
  <c r="H10" i="65" l="1"/>
  <c r="H10" i="47" l="1"/>
  <c r="H10" i="64" l="1"/>
  <c r="I10" i="64" s="1"/>
  <c r="H10" i="52" l="1"/>
  <c r="H10" i="54" l="1"/>
  <c r="H10" i="51" l="1"/>
  <c r="H10" i="53" l="1"/>
  <c r="H10" i="50" l="1"/>
  <c r="H10" i="125" l="1"/>
  <c r="H10" i="75" l="1"/>
  <c r="H10" i="59" l="1"/>
  <c r="N3" i="136" l="1"/>
  <c r="C39" i="1" l="1"/>
  <c r="H10" i="56" l="1"/>
  <c r="H10" i="72"/>
  <c r="H10" i="63"/>
  <c r="H10" i="130" l="1"/>
  <c r="H10" i="67" l="1"/>
  <c r="H10" i="104" l="1"/>
  <c r="H10" i="66" l="1"/>
  <c r="H10" i="87"/>
  <c r="G6" i="111" l="1"/>
  <c r="B10" i="93" l="1"/>
  <c r="C10" i="93" s="1"/>
  <c r="D10" i="93" s="1"/>
  <c r="E10" i="93" s="1"/>
  <c r="F10" i="93" s="1"/>
  <c r="G10" i="93" s="1"/>
  <c r="B10" i="76"/>
  <c r="C10" i="76" s="1"/>
  <c r="D10" i="76" s="1"/>
  <c r="E10" i="76" s="1"/>
  <c r="F10" i="76" s="1"/>
  <c r="G10" i="76" s="1"/>
  <c r="B10" i="68"/>
  <c r="C10" i="68" s="1"/>
  <c r="D10" i="68" s="1"/>
  <c r="E10" i="68" s="1"/>
  <c r="F10" i="68" s="1"/>
  <c r="G10" i="68" s="1"/>
  <c r="B10" i="56"/>
  <c r="C10" i="56" s="1"/>
  <c r="D10" i="56" s="1"/>
  <c r="E10" i="56" s="1"/>
  <c r="F10" i="56" s="1"/>
  <c r="G10" i="56" s="1"/>
  <c r="B10" i="126"/>
  <c r="C10" i="126" s="1"/>
  <c r="D10" i="126" s="1"/>
  <c r="E10" i="126" s="1"/>
  <c r="F10" i="126" s="1"/>
  <c r="G10" i="126" s="1"/>
  <c r="B10" i="74"/>
  <c r="C10" i="74" s="1"/>
  <c r="D10" i="74" s="1"/>
  <c r="E10" i="74" s="1"/>
  <c r="F10" i="74" s="1"/>
  <c r="G10" i="74" s="1"/>
  <c r="H10" i="74" s="1"/>
  <c r="I10" i="74" s="1"/>
  <c r="J10" i="74" s="1"/>
  <c r="K10" i="74" s="1"/>
  <c r="L10" i="74" s="1"/>
  <c r="B10" i="72"/>
  <c r="C10" i="72" s="1"/>
  <c r="D10" i="72" s="1"/>
  <c r="E10" i="72" s="1"/>
  <c r="F10" i="72" s="1"/>
  <c r="G10" i="72" s="1"/>
  <c r="B10" i="63"/>
  <c r="C10" i="63" s="1"/>
  <c r="D10" i="63" s="1"/>
  <c r="E10" i="63" s="1"/>
  <c r="F10" i="63" s="1"/>
  <c r="G10" i="63" s="1"/>
  <c r="G10" i="135" l="1"/>
  <c r="N6" i="134" l="1"/>
  <c r="N7" i="134"/>
  <c r="N8" i="134"/>
  <c r="N9" i="134"/>
  <c r="N5" i="134"/>
  <c r="N10" i="134" l="1"/>
  <c r="G10" i="125"/>
  <c r="G10" i="108"/>
  <c r="G10" i="58"/>
  <c r="G10" i="57"/>
  <c r="G10" i="129"/>
  <c r="G10" i="124"/>
  <c r="N6" i="130"/>
  <c r="N7" i="130"/>
  <c r="N8" i="130"/>
  <c r="N9" i="130"/>
  <c r="N5" i="130"/>
  <c r="N10" i="130" l="1"/>
  <c r="H10" i="124"/>
  <c r="B10" i="80"/>
  <c r="C10" i="80" s="1"/>
  <c r="D10" i="80" s="1"/>
  <c r="E10" i="80" s="1"/>
  <c r="F10" i="80" s="1"/>
  <c r="G10" i="80" s="1"/>
  <c r="G10" i="75"/>
  <c r="B10" i="67" l="1"/>
  <c r="C10" i="67" s="1"/>
  <c r="D10" i="67" s="1"/>
  <c r="E10" i="67" s="1"/>
  <c r="F10" i="67" s="1"/>
  <c r="G10" i="67" s="1"/>
  <c r="B10" i="44" l="1"/>
  <c r="C10" i="44" s="1"/>
  <c r="D10" i="44" s="1"/>
  <c r="E10" i="44" s="1"/>
  <c r="F10" i="44" s="1"/>
  <c r="G10" i="44" s="1"/>
  <c r="B10" i="71" l="1"/>
  <c r="C10" i="71" s="1"/>
  <c r="D10" i="71" s="1"/>
  <c r="E10" i="71" s="1"/>
  <c r="F10" i="71" s="1"/>
  <c r="G10" i="71" s="1"/>
  <c r="H10" i="71" s="1"/>
  <c r="I10" i="71" s="1"/>
  <c r="J10" i="71" s="1"/>
  <c r="K10" i="71" s="1"/>
  <c r="L10" i="71" s="1"/>
  <c r="F5" i="60"/>
  <c r="B10" i="60"/>
  <c r="C10" i="60" s="1"/>
  <c r="D10" i="60" s="1"/>
  <c r="E10" i="60" s="1"/>
  <c r="F10" i="60" s="1"/>
  <c r="G10" i="60" s="1"/>
  <c r="H10" i="60" s="1"/>
  <c r="I10" i="60" s="1"/>
  <c r="J10" i="60" s="1"/>
  <c r="K10" i="60" s="1"/>
  <c r="L10" i="60" s="1"/>
  <c r="B10" i="117" l="1"/>
  <c r="C10" i="117" s="1"/>
  <c r="D10" i="104"/>
  <c r="E10" i="104"/>
  <c r="F10" i="104" s="1"/>
  <c r="G10" i="104" s="1"/>
  <c r="C10" i="104"/>
  <c r="B10" i="104"/>
  <c r="D10" i="117" l="1"/>
  <c r="E10" i="117" s="1"/>
  <c r="F10" i="117" s="1"/>
  <c r="G10" i="117" s="1"/>
  <c r="H10" i="117" s="1"/>
  <c r="G10" i="96"/>
  <c r="G10" i="100"/>
  <c r="G10" i="89" l="1"/>
  <c r="G10" i="103" l="1"/>
  <c r="F10" i="103" l="1"/>
  <c r="F10" i="135" l="1"/>
  <c r="F10" i="96" l="1"/>
  <c r="F10" i="100" l="1"/>
  <c r="E10" i="107" l="1"/>
  <c r="F10" i="107"/>
  <c r="F10" i="89" l="1"/>
  <c r="E10" i="99" l="1"/>
  <c r="F10" i="99"/>
  <c r="D10" i="87" l="1"/>
  <c r="E10" i="87"/>
  <c r="F10" i="87" s="1"/>
  <c r="G10" i="87" s="1"/>
  <c r="C10" i="87"/>
  <c r="B10" i="87"/>
  <c r="G10" i="65" l="1"/>
  <c r="G10" i="64"/>
  <c r="G10" i="61"/>
  <c r="G10" i="54"/>
  <c r="G10" i="53"/>
  <c r="G10" i="52"/>
  <c r="G10" i="51"/>
  <c r="B10" i="66" l="1"/>
  <c r="C10" i="66" s="1"/>
  <c r="D10" i="66" s="1"/>
  <c r="E10" i="66" s="1"/>
  <c r="F10" i="66" s="1"/>
  <c r="G10" i="66" s="1"/>
  <c r="G10" i="50"/>
  <c r="G10" i="47"/>
  <c r="F10" i="129" l="1"/>
  <c r="F10" i="111" l="1"/>
  <c r="G10" i="111" s="1"/>
  <c r="F10" i="108" l="1"/>
  <c r="F10" i="58" l="1"/>
  <c r="F6" i="125" l="1"/>
  <c r="F10" i="59" l="1"/>
  <c r="G10" i="59" s="1"/>
  <c r="F10" i="61" l="1"/>
  <c r="F10" i="45" l="1"/>
  <c r="G10" i="45" s="1"/>
  <c r="F10" i="64" l="1"/>
  <c r="F10" i="65" l="1"/>
  <c r="F10" i="47" l="1"/>
  <c r="F10" i="52" l="1"/>
  <c r="F10" i="51" l="1"/>
  <c r="F10" i="54" l="1"/>
  <c r="F10" i="53" l="1"/>
  <c r="F10" i="50" l="1"/>
  <c r="F10" i="75" l="1"/>
  <c r="F10" i="57" l="1"/>
  <c r="F10" i="125" l="1"/>
  <c r="F13" i="125" s="1"/>
  <c r="E10" i="108" l="1"/>
  <c r="D10" i="135" l="1"/>
  <c r="E10" i="135" s="1"/>
  <c r="C10" i="135"/>
  <c r="B10" i="135"/>
  <c r="D10" i="96" l="1"/>
  <c r="C10" i="96"/>
  <c r="B10" i="96"/>
  <c r="E10" i="103" l="1"/>
  <c r="E10" i="100" l="1"/>
  <c r="E10" i="105" l="1"/>
  <c r="F10" i="105" s="1"/>
  <c r="G10" i="105" s="1"/>
  <c r="H10" i="105" s="1"/>
  <c r="I10" i="105" s="1"/>
  <c r="J10" i="105" s="1"/>
  <c r="K10" i="105" s="1"/>
  <c r="L10" i="105" s="1"/>
  <c r="M10" i="105" s="1"/>
  <c r="E10" i="89" l="1"/>
  <c r="D10" i="99" l="1"/>
  <c r="E10" i="45" l="1"/>
  <c r="E10" i="61" l="1"/>
  <c r="E10" i="111" l="1"/>
  <c r="E10" i="129" l="1"/>
  <c r="E10" i="65" l="1"/>
  <c r="E10" i="51" l="1"/>
  <c r="E10" i="52" l="1"/>
  <c r="E10" i="54" l="1"/>
  <c r="E10" i="53" l="1"/>
  <c r="E10" i="58" l="1"/>
  <c r="E10" i="125" l="1"/>
  <c r="E10" i="57" l="1"/>
  <c r="E10" i="50" l="1"/>
  <c r="E10" i="75" l="1"/>
  <c r="E10" i="47"/>
  <c r="D10" i="108" l="1"/>
  <c r="D6" i="108"/>
  <c r="D9" i="108"/>
  <c r="D10" i="61" l="1"/>
  <c r="E10" i="124" l="1"/>
  <c r="F10" i="124" s="1"/>
  <c r="E6" i="64" l="1"/>
  <c r="E10" i="64"/>
  <c r="D10" i="103" l="1"/>
  <c r="E10" i="96" l="1"/>
  <c r="D10" i="105" l="1"/>
  <c r="D10" i="107" l="1"/>
  <c r="D10" i="89" l="1"/>
  <c r="D10" i="48" l="1"/>
  <c r="C10" i="48"/>
  <c r="D10" i="111" l="1"/>
  <c r="D10" i="129" l="1"/>
  <c r="D10" i="58" l="1"/>
  <c r="D10" i="45" l="1"/>
  <c r="D10" i="47" l="1"/>
  <c r="B10" i="62" l="1"/>
  <c r="D10" i="65" l="1"/>
  <c r="D10" i="50" l="1"/>
  <c r="D10" i="53" l="1"/>
  <c r="D10" i="52" l="1"/>
  <c r="D10" i="51" l="1"/>
  <c r="D10" i="54" l="1"/>
  <c r="D10" i="125" l="1"/>
  <c r="D10" i="75" l="1"/>
  <c r="O3" i="108" l="1"/>
  <c r="B10" i="2" l="1"/>
  <c r="C10" i="2" l="1"/>
  <c r="D10" i="2" s="1"/>
  <c r="E10" i="2" s="1"/>
  <c r="F10" i="2" s="1"/>
  <c r="G10" i="2" s="1"/>
  <c r="H10" i="2" s="1"/>
  <c r="B10" i="43" l="1"/>
  <c r="C10" i="43" s="1"/>
  <c r="D10" i="43" s="1"/>
  <c r="E10" i="43" s="1"/>
  <c r="F10" i="43" s="1"/>
  <c r="G10" i="43" s="1"/>
  <c r="H10" i="43" s="1"/>
  <c r="I10" i="43" s="1"/>
  <c r="J10" i="43" s="1"/>
  <c r="K10" i="43" s="1"/>
  <c r="D10" i="64" l="1"/>
  <c r="D10" i="124" l="1"/>
  <c r="C6" i="125" l="1"/>
  <c r="B10" i="46" l="1"/>
  <c r="C10" i="46" s="1"/>
  <c r="D10" i="46" s="1"/>
  <c r="E10" i="46" s="1"/>
  <c r="F10" i="46" s="1"/>
  <c r="G10" i="46" s="1"/>
  <c r="H10" i="46" s="1"/>
  <c r="I10" i="46" s="1"/>
  <c r="J10" i="46" s="1"/>
  <c r="K10" i="46" s="1"/>
  <c r="L10" i="46" s="1"/>
  <c r="C10" i="129" l="1"/>
  <c r="C10" i="103" l="1"/>
  <c r="B10" i="103"/>
  <c r="C10" i="100" l="1"/>
  <c r="C10" i="105" l="1"/>
  <c r="C10" i="107" l="1"/>
  <c r="C10" i="89" l="1"/>
  <c r="M10" i="99" l="1"/>
  <c r="C10" i="99"/>
  <c r="B10" i="99"/>
  <c r="C10" i="65" l="1"/>
  <c r="C10" i="64" l="1"/>
  <c r="C10" i="50" l="1"/>
  <c r="C10" i="47" l="1"/>
  <c r="C10" i="45" l="1"/>
  <c r="C10" i="53" l="1"/>
  <c r="C10" i="51" l="1"/>
  <c r="C10" i="52" l="1"/>
  <c r="C10" i="54" l="1"/>
  <c r="C10" i="111" l="1"/>
  <c r="C10" i="61" l="1"/>
  <c r="C10" i="75" l="1"/>
  <c r="C10" i="62"/>
  <c r="D10" i="62" s="1"/>
  <c r="E10" i="62" s="1"/>
  <c r="F10" i="62" s="1"/>
  <c r="G10" i="62" s="1"/>
  <c r="H10" i="62" s="1"/>
  <c r="B10" i="59" l="1"/>
  <c r="C10" i="59" s="1"/>
  <c r="D10" i="59" s="1"/>
  <c r="E10" i="59" s="1"/>
  <c r="C10" i="125" l="1"/>
  <c r="C10" i="108" l="1"/>
  <c r="B10" i="108"/>
  <c r="B10" i="124" l="1"/>
  <c r="C10" i="124" s="1"/>
  <c r="C8" i="57" l="1"/>
  <c r="B10" i="49" l="1"/>
  <c r="C10" i="49" s="1"/>
  <c r="D10" i="49" s="1"/>
  <c r="E10" i="49" s="1"/>
  <c r="F10" i="49" s="1"/>
  <c r="G10" i="49" s="1"/>
  <c r="H10" i="49" s="1"/>
  <c r="I10" i="49" s="1"/>
  <c r="J10" i="49" s="1"/>
  <c r="K10" i="49" s="1"/>
  <c r="L10" i="49" s="1"/>
  <c r="M10" i="49" s="1"/>
  <c r="D49" i="1" l="1"/>
  <c r="N6" i="133" l="1"/>
  <c r="N7" i="133"/>
  <c r="N8" i="133"/>
  <c r="N10" i="133" l="1"/>
  <c r="P56" i="1" s="1"/>
  <c r="C58" i="1"/>
  <c r="C56" i="1"/>
  <c r="B10" i="100" l="1"/>
  <c r="B10" i="105" l="1"/>
  <c r="B10" i="107" l="1"/>
  <c r="B10" i="48" l="1"/>
  <c r="B10" i="89" l="1"/>
  <c r="C9" i="58" l="1"/>
  <c r="C10" i="58"/>
  <c r="B10" i="47" l="1"/>
  <c r="B10" i="61" l="1"/>
  <c r="B10" i="58" l="1"/>
  <c r="N5" i="136" l="1"/>
  <c r="O5" i="1"/>
  <c r="N5" i="1"/>
  <c r="M5" i="1"/>
  <c r="L5" i="1"/>
  <c r="K5" i="1"/>
  <c r="J5" i="1"/>
  <c r="C5" i="1"/>
  <c r="N9" i="136"/>
  <c r="N8" i="136"/>
  <c r="N7" i="136"/>
  <c r="N6" i="136"/>
  <c r="N10" i="136" l="1"/>
  <c r="P5" i="1" s="1"/>
  <c r="B10" i="136"/>
  <c r="B10" i="45"/>
  <c r="D5" i="1" l="1"/>
  <c r="C10" i="136"/>
  <c r="B10" i="64"/>
  <c r="D10" i="136" l="1"/>
  <c r="E5" i="1"/>
  <c r="B10" i="50"/>
  <c r="E10" i="136" l="1"/>
  <c r="F5" i="1"/>
  <c r="B10" i="57"/>
  <c r="C10" i="57" s="1"/>
  <c r="D10" i="57" s="1"/>
  <c r="F10" i="136" l="1"/>
  <c r="G5" i="1"/>
  <c r="B10" i="111"/>
  <c r="G10" i="136" l="1"/>
  <c r="I5" i="1" s="1"/>
  <c r="H5" i="1"/>
  <c r="B10" i="53"/>
  <c r="B10" i="51" l="1"/>
  <c r="B10" i="52" l="1"/>
  <c r="B10" i="54" l="1"/>
  <c r="B10" i="65" l="1"/>
  <c r="B10" i="129" l="1"/>
  <c r="B10" i="125" l="1"/>
  <c r="B10" i="75" l="1"/>
  <c r="C45" i="1" l="1"/>
  <c r="B10" i="116" l="1"/>
  <c r="C10" i="116" s="1"/>
  <c r="D10" i="116" s="1"/>
  <c r="E10" i="116" s="1"/>
  <c r="F10" i="116" s="1"/>
  <c r="G10" i="116" s="1"/>
  <c r="H10" i="116" s="1"/>
  <c r="I10" i="116" s="1"/>
  <c r="J10" i="116" s="1"/>
  <c r="K10" i="116" s="1"/>
  <c r="L10" i="116" s="1"/>
  <c r="N7" i="75" l="1"/>
  <c r="N9" i="135" l="1"/>
  <c r="N6" i="135"/>
  <c r="N7" i="135"/>
  <c r="N8" i="135"/>
  <c r="N5" i="135"/>
  <c r="N10" i="135" l="1"/>
  <c r="P58" i="1" s="1"/>
  <c r="C57" i="1" l="1"/>
  <c r="B10" i="134"/>
  <c r="P57" i="1"/>
  <c r="D57" i="1" l="1"/>
  <c r="E58" i="1"/>
  <c r="D58" i="1"/>
  <c r="E57" i="1" l="1"/>
  <c r="F58" i="1"/>
  <c r="F57" i="1" l="1"/>
  <c r="G58" i="1"/>
  <c r="G57" i="1" l="1"/>
  <c r="H58" i="1"/>
  <c r="H57" i="1" l="1"/>
  <c r="I58" i="1"/>
  <c r="I57" i="1" l="1"/>
  <c r="J58" i="1"/>
  <c r="J57" i="1" l="1"/>
  <c r="K58" i="1"/>
  <c r="G56" i="1"/>
  <c r="I56" i="1"/>
  <c r="K56" i="1"/>
  <c r="L56" i="1"/>
  <c r="H56" i="1"/>
  <c r="E56" i="1"/>
  <c r="C37" i="1"/>
  <c r="O37" i="1"/>
  <c r="C55" i="1"/>
  <c r="O55" i="1"/>
  <c r="P55" i="1"/>
  <c r="C36" i="1"/>
  <c r="C54" i="1"/>
  <c r="N54" i="1"/>
  <c r="O54" i="1"/>
  <c r="C51" i="1"/>
  <c r="C52" i="1"/>
  <c r="O52" i="1"/>
  <c r="C53" i="1"/>
  <c r="O53" i="1"/>
  <c r="C50" i="1"/>
  <c r="N50" i="1"/>
  <c r="O50" i="1"/>
  <c r="C48" i="1"/>
  <c r="N48" i="1"/>
  <c r="O48" i="1"/>
  <c r="N49" i="1"/>
  <c r="O49" i="1"/>
  <c r="O45" i="1"/>
  <c r="C46" i="1"/>
  <c r="N46" i="1"/>
  <c r="O46" i="1"/>
  <c r="C47" i="1"/>
  <c r="N47" i="1"/>
  <c r="O47" i="1"/>
  <c r="C35" i="1"/>
  <c r="O35" i="1"/>
  <c r="C43" i="1"/>
  <c r="N43" i="1"/>
  <c r="O43" i="1"/>
  <c r="C44" i="1"/>
  <c r="N44" i="1"/>
  <c r="O44" i="1"/>
  <c r="C34" i="1"/>
  <c r="O34" i="1"/>
  <c r="C40" i="1"/>
  <c r="N40" i="1"/>
  <c r="O40" i="1"/>
  <c r="C41" i="1"/>
  <c r="C42" i="1"/>
  <c r="H42" i="1"/>
  <c r="N42" i="1"/>
  <c r="O42" i="1"/>
  <c r="C23" i="1"/>
  <c r="N23" i="1"/>
  <c r="O23" i="1"/>
  <c r="C24" i="1"/>
  <c r="N24" i="1"/>
  <c r="O24" i="1"/>
  <c r="C25" i="1"/>
  <c r="O25" i="1"/>
  <c r="C26" i="1"/>
  <c r="N26" i="1"/>
  <c r="O26" i="1"/>
  <c r="O27" i="1"/>
  <c r="C28" i="1"/>
  <c r="O28" i="1"/>
  <c r="C29" i="1"/>
  <c r="O29" i="1"/>
  <c r="C38" i="1"/>
  <c r="O38" i="1"/>
  <c r="C30" i="1"/>
  <c r="C31" i="1"/>
  <c r="O31" i="1"/>
  <c r="C32" i="1"/>
  <c r="N32" i="1"/>
  <c r="O32" i="1"/>
  <c r="C33" i="1"/>
  <c r="N33" i="1"/>
  <c r="O33" i="1"/>
  <c r="C13" i="1"/>
  <c r="C14" i="1"/>
  <c r="C15" i="1"/>
  <c r="C16" i="1"/>
  <c r="C17" i="1"/>
  <c r="O17" i="1"/>
  <c r="C18" i="1"/>
  <c r="O18" i="1"/>
  <c r="C19" i="1"/>
  <c r="O19" i="1"/>
  <c r="N20" i="1"/>
  <c r="O20" i="1"/>
  <c r="C21" i="1"/>
  <c r="C22" i="1"/>
  <c r="C12" i="1"/>
  <c r="N12" i="1"/>
  <c r="O12" i="1"/>
  <c r="C11" i="1"/>
  <c r="O11" i="1"/>
  <c r="C10" i="1"/>
  <c r="K57" i="1" l="1"/>
  <c r="J56" i="1"/>
  <c r="F56" i="1"/>
  <c r="L58" i="1"/>
  <c r="D56" i="1"/>
  <c r="L57" i="1" l="1"/>
  <c r="M56" i="1"/>
  <c r="M58" i="1"/>
  <c r="B10" i="130"/>
  <c r="M57" i="1" l="1"/>
  <c r="N56" i="1"/>
  <c r="O56" i="1"/>
  <c r="O58" i="1"/>
  <c r="N58" i="1"/>
  <c r="C10" i="130"/>
  <c r="D55" i="1"/>
  <c r="O57" i="1" l="1"/>
  <c r="N57" i="1"/>
  <c r="E55" i="1"/>
  <c r="D10" i="130"/>
  <c r="E10" i="130" s="1"/>
  <c r="F10" i="130" s="1"/>
  <c r="G10" i="130" s="1"/>
  <c r="N9" i="75"/>
  <c r="F55" i="1" l="1"/>
  <c r="G55" i="1" l="1"/>
  <c r="C27" i="1"/>
  <c r="C49" i="1"/>
  <c r="H55" i="1" l="1"/>
  <c r="I55" i="1" l="1"/>
  <c r="D32" i="1"/>
  <c r="J55" i="1" l="1"/>
  <c r="E32" i="1"/>
  <c r="D11" i="1"/>
  <c r="K55" i="1" l="1"/>
  <c r="F32" i="1"/>
  <c r="L55" i="1" l="1"/>
  <c r="G32" i="1"/>
  <c r="M55" i="1" l="1"/>
  <c r="N55" i="1"/>
  <c r="H32" i="1"/>
  <c r="I32" i="1" l="1"/>
  <c r="N9" i="129"/>
  <c r="N8" i="129"/>
  <c r="N7" i="129"/>
  <c r="N6" i="129"/>
  <c r="N5" i="129"/>
  <c r="N9" i="126"/>
  <c r="N8" i="126"/>
  <c r="N7" i="126"/>
  <c r="N6" i="126"/>
  <c r="N5" i="126"/>
  <c r="D37" i="1" l="1"/>
  <c r="D33" i="1"/>
  <c r="J32" i="1"/>
  <c r="N10" i="129"/>
  <c r="P37" i="1" s="1"/>
  <c r="N10" i="126"/>
  <c r="P33" i="1" s="1"/>
  <c r="K32" i="1" l="1"/>
  <c r="E33" i="1"/>
  <c r="E37" i="1"/>
  <c r="L32" i="1" l="1"/>
  <c r="M32" i="1"/>
  <c r="F33" i="1"/>
  <c r="F37" i="1"/>
  <c r="G37" i="1" l="1"/>
  <c r="G33" i="1"/>
  <c r="H33" i="1" l="1"/>
  <c r="H37" i="1"/>
  <c r="D45" i="1" l="1"/>
  <c r="I37" i="1"/>
  <c r="I33" i="1"/>
  <c r="D39" i="1"/>
  <c r="J37" i="1" l="1"/>
  <c r="J33" i="1"/>
  <c r="E45" i="1"/>
  <c r="F45" i="1" l="1"/>
  <c r="K37" i="1"/>
  <c r="K33" i="1"/>
  <c r="N9" i="125"/>
  <c r="N8" i="125"/>
  <c r="N7" i="125"/>
  <c r="N6" i="125"/>
  <c r="N5" i="125"/>
  <c r="L37" i="1" l="1"/>
  <c r="L33" i="1"/>
  <c r="M33" i="1"/>
  <c r="D54" i="1"/>
  <c r="G45" i="1"/>
  <c r="N10" i="125"/>
  <c r="P54" i="1" s="1"/>
  <c r="M37" i="1" l="1"/>
  <c r="N37" i="1"/>
  <c r="I45" i="1"/>
  <c r="H45" i="1"/>
  <c r="E54" i="1"/>
  <c r="E24" i="1" l="1"/>
  <c r="D24" i="1"/>
  <c r="F54" i="1"/>
  <c r="N9" i="124"/>
  <c r="N8" i="124"/>
  <c r="N7" i="124"/>
  <c r="N6" i="124"/>
  <c r="G54" i="1" l="1"/>
  <c r="D36" i="1"/>
  <c r="C9" i="1"/>
  <c r="C8" i="1"/>
  <c r="C7" i="1"/>
  <c r="C6" i="1"/>
  <c r="C4" i="1"/>
  <c r="B10" i="123"/>
  <c r="C10" i="123" s="1"/>
  <c r="D10" i="123" s="1"/>
  <c r="E10" i="123" s="1"/>
  <c r="F10" i="123" s="1"/>
  <c r="G10" i="123" s="1"/>
  <c r="H10" i="123" s="1"/>
  <c r="I10" i="123" s="1"/>
  <c r="J10" i="123" s="1"/>
  <c r="K10" i="123" s="1"/>
  <c r="L10" i="123" s="1"/>
  <c r="M10" i="123" s="1"/>
  <c r="N9" i="123"/>
  <c r="N8" i="123"/>
  <c r="N7" i="123"/>
  <c r="N6" i="123"/>
  <c r="N5" i="123"/>
  <c r="B10" i="120"/>
  <c r="C10" i="120" s="1"/>
  <c r="D10" i="120" s="1"/>
  <c r="E10" i="120" s="1"/>
  <c r="F10" i="120" s="1"/>
  <c r="G10" i="120" s="1"/>
  <c r="H10" i="120" s="1"/>
  <c r="I10" i="120" s="1"/>
  <c r="J10" i="120" s="1"/>
  <c r="K10" i="120" s="1"/>
  <c r="L10" i="120" s="1"/>
  <c r="M10" i="120" s="1"/>
  <c r="N9" i="120"/>
  <c r="N8" i="120"/>
  <c r="N7" i="120"/>
  <c r="N6" i="120"/>
  <c r="N5" i="120"/>
  <c r="B10" i="118"/>
  <c r="C10" i="118" s="1"/>
  <c r="D10" i="118" s="1"/>
  <c r="E10" i="118" s="1"/>
  <c r="F10" i="118" s="1"/>
  <c r="G10" i="118" s="1"/>
  <c r="H10" i="118" s="1"/>
  <c r="I10" i="118" s="1"/>
  <c r="J10" i="118" s="1"/>
  <c r="K10" i="118" s="1"/>
  <c r="L10" i="118" s="1"/>
  <c r="M10" i="118" s="1"/>
  <c r="N9" i="118"/>
  <c r="N8" i="118"/>
  <c r="N7" i="118"/>
  <c r="N6" i="118"/>
  <c r="N5" i="118"/>
  <c r="N9" i="117"/>
  <c r="N8" i="117"/>
  <c r="N7" i="117"/>
  <c r="N6" i="117"/>
  <c r="N5" i="117"/>
  <c r="N9" i="116"/>
  <c r="N8" i="116"/>
  <c r="N7" i="116"/>
  <c r="N6" i="116"/>
  <c r="N5" i="116"/>
  <c r="B10" i="114"/>
  <c r="N9" i="114"/>
  <c r="N8" i="114"/>
  <c r="N7" i="114"/>
  <c r="N6" i="114"/>
  <c r="N5" i="114"/>
  <c r="B10" i="113"/>
  <c r="N9" i="113"/>
  <c r="N8" i="113"/>
  <c r="N7" i="113"/>
  <c r="N6" i="113"/>
  <c r="N5" i="113"/>
  <c r="B10" i="112"/>
  <c r="N9" i="112"/>
  <c r="N8" i="112"/>
  <c r="N7" i="112"/>
  <c r="N6" i="112"/>
  <c r="N5" i="112"/>
  <c r="N9" i="111"/>
  <c r="N8" i="111"/>
  <c r="N7" i="111"/>
  <c r="N6" i="111"/>
  <c r="N5" i="111"/>
  <c r="B10" i="110"/>
  <c r="C10" i="110" s="1"/>
  <c r="N9" i="110"/>
  <c r="N8" i="110"/>
  <c r="N7" i="110"/>
  <c r="N6" i="110"/>
  <c r="N5" i="110"/>
  <c r="B10" i="109"/>
  <c r="C10" i="109" s="1"/>
  <c r="D10" i="109" s="1"/>
  <c r="E10" i="109" s="1"/>
  <c r="F10" i="109" s="1"/>
  <c r="G10" i="109" s="1"/>
  <c r="H10" i="109" s="1"/>
  <c r="I10" i="109" s="1"/>
  <c r="J10" i="109" s="1"/>
  <c r="K10" i="109" s="1"/>
  <c r="L10" i="109" s="1"/>
  <c r="M10" i="109" s="1"/>
  <c r="N9" i="109"/>
  <c r="N8" i="109"/>
  <c r="N7" i="109"/>
  <c r="N6" i="109"/>
  <c r="N5" i="109"/>
  <c r="D51" i="1"/>
  <c r="N9" i="108"/>
  <c r="N8" i="108"/>
  <c r="N7" i="108"/>
  <c r="N6" i="108"/>
  <c r="N5" i="108"/>
  <c r="N9" i="107"/>
  <c r="N8" i="107"/>
  <c r="N7" i="107"/>
  <c r="N6" i="107"/>
  <c r="N5" i="107"/>
  <c r="B10" i="106"/>
  <c r="C10" i="106" s="1"/>
  <c r="D10" i="106" s="1"/>
  <c r="E10" i="106" s="1"/>
  <c r="F10" i="106" s="1"/>
  <c r="G10" i="106" s="1"/>
  <c r="H10" i="106" s="1"/>
  <c r="I10" i="106" s="1"/>
  <c r="J10" i="106" s="1"/>
  <c r="K10" i="106" s="1"/>
  <c r="L10" i="106" s="1"/>
  <c r="M10" i="106" s="1"/>
  <c r="N9" i="106"/>
  <c r="N8" i="106"/>
  <c r="N7" i="106"/>
  <c r="N6" i="106"/>
  <c r="N5" i="106"/>
  <c r="N9" i="105"/>
  <c r="N8" i="105"/>
  <c r="N7" i="105"/>
  <c r="N6" i="105"/>
  <c r="N5" i="105"/>
  <c r="D30" i="1"/>
  <c r="N9" i="104"/>
  <c r="N8" i="104"/>
  <c r="N7" i="104"/>
  <c r="N6" i="104"/>
  <c r="N5" i="104"/>
  <c r="N9" i="103"/>
  <c r="N8" i="103"/>
  <c r="N7" i="103"/>
  <c r="N6" i="103"/>
  <c r="N5" i="103"/>
  <c r="N9" i="102"/>
  <c r="N8" i="102"/>
  <c r="N7" i="102"/>
  <c r="N6" i="102"/>
  <c r="N5" i="102"/>
  <c r="N9" i="101"/>
  <c r="N8" i="101"/>
  <c r="N7" i="101"/>
  <c r="N6" i="101"/>
  <c r="N5" i="101"/>
  <c r="N9" i="100"/>
  <c r="N8" i="100"/>
  <c r="N7" i="100"/>
  <c r="N6" i="100"/>
  <c r="N5" i="100"/>
  <c r="N9" i="99"/>
  <c r="N8" i="99"/>
  <c r="N7" i="99"/>
  <c r="N6" i="99"/>
  <c r="N5" i="99"/>
  <c r="B10" i="98"/>
  <c r="C10" i="98" s="1"/>
  <c r="D10" i="98" s="1"/>
  <c r="E10" i="98" s="1"/>
  <c r="F10" i="98" s="1"/>
  <c r="G10" i="98" s="1"/>
  <c r="H10" i="98" s="1"/>
  <c r="I10" i="98" s="1"/>
  <c r="J10" i="98" s="1"/>
  <c r="K10" i="98" s="1"/>
  <c r="L10" i="98" s="1"/>
  <c r="M10" i="98" s="1"/>
  <c r="N9" i="98"/>
  <c r="N8" i="98"/>
  <c r="N7" i="98"/>
  <c r="N6" i="98"/>
  <c r="N5" i="98"/>
  <c r="N9" i="96"/>
  <c r="N8" i="96"/>
  <c r="N7" i="96"/>
  <c r="N6" i="96"/>
  <c r="N5" i="96"/>
  <c r="B10" i="94"/>
  <c r="N9" i="94"/>
  <c r="N8" i="94"/>
  <c r="N7" i="94"/>
  <c r="N6" i="94"/>
  <c r="N5" i="94"/>
  <c r="N9" i="93"/>
  <c r="N8" i="93"/>
  <c r="N7" i="93"/>
  <c r="N6" i="93"/>
  <c r="N5" i="93"/>
  <c r="B10" i="92"/>
  <c r="N9" i="92"/>
  <c r="N8" i="92"/>
  <c r="N7" i="92"/>
  <c r="N6" i="92"/>
  <c r="N5" i="92"/>
  <c r="N9" i="91"/>
  <c r="N8" i="91"/>
  <c r="N7" i="91"/>
  <c r="N6" i="91"/>
  <c r="N5" i="91"/>
  <c r="B10" i="90"/>
  <c r="C10" i="90" s="1"/>
  <c r="D10" i="90" s="1"/>
  <c r="E10" i="90" s="1"/>
  <c r="N9" i="90"/>
  <c r="N8" i="90"/>
  <c r="N7" i="90"/>
  <c r="N6" i="90"/>
  <c r="N5" i="90"/>
  <c r="N9" i="89"/>
  <c r="N8" i="89"/>
  <c r="N7" i="89"/>
  <c r="N6" i="89"/>
  <c r="N5" i="89"/>
  <c r="B10" i="88"/>
  <c r="C10" i="88" s="1"/>
  <c r="D10" i="88" s="1"/>
  <c r="E10" i="88" s="1"/>
  <c r="F10" i="88" s="1"/>
  <c r="G10" i="88" s="1"/>
  <c r="H10" i="88" s="1"/>
  <c r="I10" i="88" s="1"/>
  <c r="J10" i="88" s="1"/>
  <c r="K10" i="88" s="1"/>
  <c r="L10" i="88" s="1"/>
  <c r="M10" i="88" s="1"/>
  <c r="N9" i="88"/>
  <c r="N8" i="88"/>
  <c r="N7" i="88"/>
  <c r="N6" i="88"/>
  <c r="N5" i="88"/>
  <c r="N9" i="87"/>
  <c r="N8" i="87"/>
  <c r="N7" i="87"/>
  <c r="N6" i="87"/>
  <c r="N5" i="87"/>
  <c r="B10" i="86"/>
  <c r="C10" i="86" s="1"/>
  <c r="D10" i="86" s="1"/>
  <c r="E10" i="86" s="1"/>
  <c r="F10" i="86" s="1"/>
  <c r="G10" i="86" s="1"/>
  <c r="H10" i="86" s="1"/>
  <c r="I10" i="86" s="1"/>
  <c r="J10" i="86" s="1"/>
  <c r="K10" i="86" s="1"/>
  <c r="L10" i="86" s="1"/>
  <c r="M10" i="86" s="1"/>
  <c r="N9" i="86"/>
  <c r="N8" i="86"/>
  <c r="N7" i="86"/>
  <c r="N6" i="86"/>
  <c r="N5" i="86"/>
  <c r="B10" i="84"/>
  <c r="N9" i="84"/>
  <c r="N8" i="84"/>
  <c r="N7" i="84"/>
  <c r="N6" i="84"/>
  <c r="N5" i="84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9" i="82"/>
  <c r="N8" i="82"/>
  <c r="N7" i="82"/>
  <c r="N6" i="82"/>
  <c r="N5" i="82"/>
  <c r="B10" i="81"/>
  <c r="C10" i="81" s="1"/>
  <c r="D10" i="81" s="1"/>
  <c r="E10" i="81" s="1"/>
  <c r="F10" i="81" s="1"/>
  <c r="G10" i="81" s="1"/>
  <c r="H10" i="81" s="1"/>
  <c r="I10" i="81" s="1"/>
  <c r="J10" i="81" s="1"/>
  <c r="K10" i="81" s="1"/>
  <c r="L10" i="81" s="1"/>
  <c r="M10" i="81" s="1"/>
  <c r="N9" i="81"/>
  <c r="N8" i="81"/>
  <c r="N7" i="81"/>
  <c r="N6" i="81"/>
  <c r="N5" i="81"/>
  <c r="N9" i="80"/>
  <c r="N8" i="80"/>
  <c r="N7" i="80"/>
  <c r="N6" i="80"/>
  <c r="B10" i="78"/>
  <c r="C10" i="78" s="1"/>
  <c r="D10" i="78" s="1"/>
  <c r="E10" i="78" s="1"/>
  <c r="F10" i="78" s="1"/>
  <c r="G10" i="78" s="1"/>
  <c r="H10" i="78" s="1"/>
  <c r="I10" i="78" s="1"/>
  <c r="J10" i="78" s="1"/>
  <c r="K10" i="78" s="1"/>
  <c r="L10" i="78" s="1"/>
  <c r="M10" i="78" s="1"/>
  <c r="N9" i="78"/>
  <c r="N8" i="78"/>
  <c r="N7" i="78"/>
  <c r="N6" i="78"/>
  <c r="N5" i="78"/>
  <c r="B10" i="77"/>
  <c r="C10" i="77" s="1"/>
  <c r="D10" i="77" s="1"/>
  <c r="E10" i="77" s="1"/>
  <c r="F10" i="77" s="1"/>
  <c r="G10" i="77" s="1"/>
  <c r="H10" i="77" s="1"/>
  <c r="I10" i="77" s="1"/>
  <c r="J10" i="77" s="1"/>
  <c r="K10" i="77" s="1"/>
  <c r="L10" i="77" s="1"/>
  <c r="M10" i="77" s="1"/>
  <c r="N9" i="77"/>
  <c r="N8" i="77"/>
  <c r="N7" i="77"/>
  <c r="N6" i="77"/>
  <c r="N5" i="77"/>
  <c r="N10" i="102" l="1"/>
  <c r="P29" i="1" s="1"/>
  <c r="D38" i="1"/>
  <c r="D48" i="1"/>
  <c r="D52" i="1"/>
  <c r="D26" i="1"/>
  <c r="E36" i="1"/>
  <c r="D47" i="1"/>
  <c r="D25" i="1"/>
  <c r="D28" i="1"/>
  <c r="E29" i="1"/>
  <c r="D29" i="1"/>
  <c r="D50" i="1"/>
  <c r="D31" i="1"/>
  <c r="H54" i="1"/>
  <c r="C10" i="113"/>
  <c r="D10" i="113" s="1"/>
  <c r="E10" i="113" s="1"/>
  <c r="F10" i="113" s="1"/>
  <c r="G10" i="113" s="1"/>
  <c r="H10" i="113" s="1"/>
  <c r="I10" i="113" s="1"/>
  <c r="J10" i="113" s="1"/>
  <c r="K10" i="113" s="1"/>
  <c r="L10" i="113" s="1"/>
  <c r="M10" i="113" s="1"/>
  <c r="N10" i="113"/>
  <c r="C10" i="94"/>
  <c r="D10" i="94" s="1"/>
  <c r="E10" i="94" s="1"/>
  <c r="F10" i="94" s="1"/>
  <c r="G10" i="94" s="1"/>
  <c r="H10" i="94" s="1"/>
  <c r="I10" i="94" s="1"/>
  <c r="J10" i="94" s="1"/>
  <c r="K10" i="94" s="1"/>
  <c r="L10" i="94" s="1"/>
  <c r="M10" i="94" s="1"/>
  <c r="N10" i="118"/>
  <c r="C10" i="84"/>
  <c r="D10" i="84" s="1"/>
  <c r="E10" i="84" s="1"/>
  <c r="F10" i="84" s="1"/>
  <c r="G10" i="84" s="1"/>
  <c r="N10" i="81"/>
  <c r="N10" i="109"/>
  <c r="N10" i="106"/>
  <c r="N10" i="82"/>
  <c r="N10" i="114"/>
  <c r="N10" i="120"/>
  <c r="N10" i="94"/>
  <c r="D10" i="110"/>
  <c r="C10" i="114"/>
  <c r="N10" i="86"/>
  <c r="N10" i="88"/>
  <c r="N10" i="108"/>
  <c r="P51" i="1" s="1"/>
  <c r="N10" i="77"/>
  <c r="N10" i="110"/>
  <c r="N10" i="87"/>
  <c r="P25" i="1" s="1"/>
  <c r="N10" i="91"/>
  <c r="C10" i="92"/>
  <c r="N10" i="112"/>
  <c r="N10" i="123"/>
  <c r="N10" i="84"/>
  <c r="N10" i="92"/>
  <c r="C10" i="112"/>
  <c r="E51" i="1"/>
  <c r="N10" i="107"/>
  <c r="P31" i="1" s="1"/>
  <c r="N10" i="117"/>
  <c r="P32" i="1" s="1"/>
  <c r="N10" i="111"/>
  <c r="P52" i="1" s="1"/>
  <c r="N10" i="105"/>
  <c r="P50" i="1" s="1"/>
  <c r="N10" i="104"/>
  <c r="P30" i="1" s="1"/>
  <c r="E30" i="1"/>
  <c r="N10" i="103"/>
  <c r="P38" i="1" s="1"/>
  <c r="N10" i="101"/>
  <c r="N10" i="100"/>
  <c r="P28" i="1" s="1"/>
  <c r="N10" i="98"/>
  <c r="N10" i="93"/>
  <c r="P48" i="1" s="1"/>
  <c r="N10" i="90"/>
  <c r="P26" i="1"/>
  <c r="N10" i="78"/>
  <c r="N9" i="76"/>
  <c r="N8" i="76"/>
  <c r="N7" i="76"/>
  <c r="N6" i="76"/>
  <c r="N5" i="76"/>
  <c r="N8" i="75"/>
  <c r="N6" i="75"/>
  <c r="N5" i="75"/>
  <c r="N9" i="74"/>
  <c r="N8" i="74"/>
  <c r="N7" i="74"/>
  <c r="N6" i="74"/>
  <c r="N5" i="74"/>
  <c r="B10" i="73"/>
  <c r="N9" i="73"/>
  <c r="N8" i="73"/>
  <c r="N7" i="73"/>
  <c r="N6" i="73"/>
  <c r="N5" i="73"/>
  <c r="D23" i="1"/>
  <c r="N9" i="72"/>
  <c r="N8" i="72"/>
  <c r="N7" i="72"/>
  <c r="N6" i="72"/>
  <c r="N5" i="72"/>
  <c r="D35" i="1"/>
  <c r="N9" i="71"/>
  <c r="N8" i="71"/>
  <c r="N7" i="71"/>
  <c r="N6" i="71"/>
  <c r="N5" i="71"/>
  <c r="D44" i="1"/>
  <c r="N9" i="68"/>
  <c r="N8" i="68"/>
  <c r="N7" i="68"/>
  <c r="N6" i="68"/>
  <c r="N5" i="68"/>
  <c r="D43" i="1"/>
  <c r="N9" i="67"/>
  <c r="N8" i="67"/>
  <c r="N7" i="67"/>
  <c r="N6" i="67"/>
  <c r="N5" i="67"/>
  <c r="N9" i="66"/>
  <c r="N8" i="66"/>
  <c r="N7" i="66"/>
  <c r="N6" i="66"/>
  <c r="N5" i="66"/>
  <c r="D22" i="1"/>
  <c r="N9" i="65"/>
  <c r="N8" i="65"/>
  <c r="N7" i="65"/>
  <c r="N6" i="65"/>
  <c r="N5" i="65"/>
  <c r="D21" i="1"/>
  <c r="N9" i="64"/>
  <c r="N8" i="64"/>
  <c r="N7" i="64"/>
  <c r="N6" i="64"/>
  <c r="N5" i="64"/>
  <c r="N9" i="63"/>
  <c r="N8" i="63"/>
  <c r="N7" i="63"/>
  <c r="N6" i="63"/>
  <c r="N5" i="63"/>
  <c r="D19" i="1"/>
  <c r="N9" i="62"/>
  <c r="N8" i="62"/>
  <c r="N7" i="62"/>
  <c r="N6" i="62"/>
  <c r="N5" i="62"/>
  <c r="D18" i="1"/>
  <c r="N9" i="61"/>
  <c r="N8" i="61"/>
  <c r="N7" i="61"/>
  <c r="N6" i="61"/>
  <c r="N5" i="61"/>
  <c r="D34" i="1"/>
  <c r="N9" i="60"/>
  <c r="N8" i="60"/>
  <c r="N7" i="60"/>
  <c r="N6" i="60"/>
  <c r="N5" i="60"/>
  <c r="D17" i="1"/>
  <c r="N9" i="59"/>
  <c r="N8" i="59"/>
  <c r="N7" i="59"/>
  <c r="N6" i="59"/>
  <c r="N5" i="59"/>
  <c r="D42" i="1"/>
  <c r="N9" i="58"/>
  <c r="N8" i="58"/>
  <c r="N7" i="58"/>
  <c r="N6" i="58"/>
  <c r="N5" i="58"/>
  <c r="N9" i="57"/>
  <c r="N8" i="57"/>
  <c r="N7" i="57"/>
  <c r="N6" i="57"/>
  <c r="N5" i="57"/>
  <c r="D40" i="1"/>
  <c r="N9" i="56"/>
  <c r="N8" i="56"/>
  <c r="N7" i="56"/>
  <c r="N6" i="56"/>
  <c r="N5" i="56"/>
  <c r="D16" i="1"/>
  <c r="N9" i="54"/>
  <c r="N8" i="54"/>
  <c r="N7" i="54"/>
  <c r="N6" i="54"/>
  <c r="N5" i="54"/>
  <c r="D15" i="1"/>
  <c r="N9" i="53"/>
  <c r="N8" i="53"/>
  <c r="N7" i="53"/>
  <c r="N6" i="53"/>
  <c r="N5" i="53"/>
  <c r="D14" i="1"/>
  <c r="N9" i="52"/>
  <c r="N8" i="52"/>
  <c r="N7" i="52"/>
  <c r="N6" i="52"/>
  <c r="N5" i="52"/>
  <c r="D13" i="1"/>
  <c r="N9" i="51"/>
  <c r="N8" i="51"/>
  <c r="N7" i="51"/>
  <c r="N6" i="51"/>
  <c r="N5" i="51"/>
  <c r="D8" i="1"/>
  <c r="N9" i="50"/>
  <c r="N8" i="50"/>
  <c r="N7" i="50"/>
  <c r="N6" i="50"/>
  <c r="N5" i="50"/>
  <c r="D7" i="1"/>
  <c r="N9" i="49"/>
  <c r="N8" i="49"/>
  <c r="N7" i="49"/>
  <c r="N6" i="49"/>
  <c r="N5" i="49"/>
  <c r="D12" i="1"/>
  <c r="N9" i="48"/>
  <c r="N8" i="48"/>
  <c r="N7" i="48"/>
  <c r="N6" i="48"/>
  <c r="N5" i="48"/>
  <c r="D6" i="1"/>
  <c r="N9" i="47"/>
  <c r="N8" i="47"/>
  <c r="N7" i="47"/>
  <c r="N6" i="47"/>
  <c r="N5" i="47"/>
  <c r="N9" i="46"/>
  <c r="N8" i="46"/>
  <c r="N7" i="46"/>
  <c r="N6" i="46"/>
  <c r="N5" i="46"/>
  <c r="N9" i="45"/>
  <c r="N8" i="45"/>
  <c r="N7" i="45"/>
  <c r="N6" i="45"/>
  <c r="N5" i="45"/>
  <c r="N9" i="44"/>
  <c r="N8" i="44"/>
  <c r="N7" i="44"/>
  <c r="N9" i="43"/>
  <c r="N8" i="43"/>
  <c r="N7" i="43"/>
  <c r="N6" i="43"/>
  <c r="N5" i="43"/>
  <c r="D10" i="1"/>
  <c r="N9" i="2"/>
  <c r="N8" i="2"/>
  <c r="N7" i="2"/>
  <c r="N6" i="2"/>
  <c r="N5" i="2"/>
  <c r="N10" i="48" l="1"/>
  <c r="D41" i="1"/>
  <c r="E31" i="1"/>
  <c r="F36" i="1"/>
  <c r="E50" i="1"/>
  <c r="E26" i="1"/>
  <c r="C20" i="1"/>
  <c r="D20" i="1"/>
  <c r="E52" i="1"/>
  <c r="E25" i="1"/>
  <c r="E48" i="1"/>
  <c r="F29" i="1"/>
  <c r="E28" i="1"/>
  <c r="D46" i="1"/>
  <c r="I54" i="1"/>
  <c r="E47" i="1"/>
  <c r="E38" i="1"/>
  <c r="N10" i="74"/>
  <c r="P24" i="1" s="1"/>
  <c r="H10" i="84"/>
  <c r="N10" i="53"/>
  <c r="P15" i="1" s="1"/>
  <c r="N10" i="60"/>
  <c r="P34" i="1" s="1"/>
  <c r="N10" i="72"/>
  <c r="P23" i="1" s="1"/>
  <c r="D10" i="112"/>
  <c r="N10" i="59"/>
  <c r="P17" i="1" s="1"/>
  <c r="N10" i="61"/>
  <c r="P18" i="1" s="1"/>
  <c r="N10" i="73"/>
  <c r="D10" i="92"/>
  <c r="D10" i="114"/>
  <c r="C10" i="73"/>
  <c r="N10" i="63"/>
  <c r="P20" i="1" s="1"/>
  <c r="E10" i="110"/>
  <c r="F51" i="1"/>
  <c r="F30" i="1"/>
  <c r="N10" i="76"/>
  <c r="P46" i="1" s="1"/>
  <c r="N10" i="75"/>
  <c r="P45" i="1" s="1"/>
  <c r="N10" i="68"/>
  <c r="P44" i="1" s="1"/>
  <c r="E44" i="1"/>
  <c r="N10" i="67"/>
  <c r="P43" i="1" s="1"/>
  <c r="E43" i="1"/>
  <c r="P9" i="1"/>
  <c r="D9" i="1"/>
  <c r="E22" i="1"/>
  <c r="N10" i="65"/>
  <c r="P22" i="1" s="1"/>
  <c r="N10" i="64"/>
  <c r="P21" i="1" s="1"/>
  <c r="E21" i="1"/>
  <c r="E20" i="1"/>
  <c r="N10" i="62"/>
  <c r="P19" i="1" s="1"/>
  <c r="E18" i="1"/>
  <c r="E34" i="1"/>
  <c r="E17" i="1"/>
  <c r="N10" i="58"/>
  <c r="P42" i="1" s="1"/>
  <c r="E42" i="1"/>
  <c r="N10" i="71"/>
  <c r="P35" i="1" s="1"/>
  <c r="E35" i="1"/>
  <c r="N10" i="46"/>
  <c r="P11" i="1" s="1"/>
  <c r="E11" i="1"/>
  <c r="N10" i="57"/>
  <c r="P41" i="1" s="1"/>
  <c r="N10" i="56"/>
  <c r="P40" i="1" s="1"/>
  <c r="E40" i="1"/>
  <c r="N10" i="54"/>
  <c r="P16" i="1" s="1"/>
  <c r="E16" i="1"/>
  <c r="E15" i="1"/>
  <c r="N10" i="52"/>
  <c r="P14" i="1" s="1"/>
  <c r="N10" i="51"/>
  <c r="P13" i="1" s="1"/>
  <c r="E13" i="1"/>
  <c r="N10" i="50"/>
  <c r="P8" i="1" s="1"/>
  <c r="N10" i="49"/>
  <c r="N10" i="47"/>
  <c r="P6" i="1" s="1"/>
  <c r="N10" i="45"/>
  <c r="P4" i="1" s="1"/>
  <c r="D4" i="1"/>
  <c r="P12" i="1"/>
  <c r="E12" i="1"/>
  <c r="N10" i="2"/>
  <c r="P10" i="1" s="1"/>
  <c r="E10" i="1"/>
  <c r="P7" i="1" l="1"/>
  <c r="E41" i="1"/>
  <c r="E39" i="1"/>
  <c r="J54" i="1"/>
  <c r="E14" i="1"/>
  <c r="E46" i="1"/>
  <c r="F28" i="1"/>
  <c r="F50" i="1"/>
  <c r="F38" i="1"/>
  <c r="F25" i="1"/>
  <c r="G36" i="1"/>
  <c r="F23" i="1"/>
  <c r="E23" i="1"/>
  <c r="F47" i="1"/>
  <c r="F52" i="1"/>
  <c r="F26" i="1"/>
  <c r="F19" i="1"/>
  <c r="E19" i="1"/>
  <c r="F48" i="1"/>
  <c r="F31" i="1"/>
  <c r="I10" i="84"/>
  <c r="E10" i="92"/>
  <c r="F10" i="110"/>
  <c r="E10" i="112"/>
  <c r="F24" i="1"/>
  <c r="D10" i="73"/>
  <c r="E10" i="114"/>
  <c r="F44" i="1"/>
  <c r="F43" i="1"/>
  <c r="E9" i="1"/>
  <c r="F22" i="1"/>
  <c r="F21" i="1"/>
  <c r="F20" i="1"/>
  <c r="F18" i="1"/>
  <c r="F34" i="1"/>
  <c r="F17" i="1"/>
  <c r="F42" i="1"/>
  <c r="E8" i="1"/>
  <c r="E7" i="1"/>
  <c r="F7" i="1"/>
  <c r="E6" i="1"/>
  <c r="E4" i="1"/>
  <c r="F39" i="1" l="1"/>
  <c r="G38" i="1"/>
  <c r="F35" i="1"/>
  <c r="G52" i="1"/>
  <c r="G50" i="1"/>
  <c r="F41" i="1"/>
  <c r="G26" i="1"/>
  <c r="G31" i="1"/>
  <c r="G23" i="1"/>
  <c r="G19" i="1"/>
  <c r="G48" i="1"/>
  <c r="H36" i="1"/>
  <c r="F14" i="1"/>
  <c r="G47" i="1"/>
  <c r="G30" i="1"/>
  <c r="F46" i="1"/>
  <c r="G51" i="1"/>
  <c r="F13" i="1"/>
  <c r="F15" i="1"/>
  <c r="G29" i="1"/>
  <c r="F10" i="1"/>
  <c r="G25" i="1"/>
  <c r="K54" i="1"/>
  <c r="F11" i="1"/>
  <c r="G28" i="1"/>
  <c r="F16" i="1"/>
  <c r="F12" i="1"/>
  <c r="F40" i="1"/>
  <c r="J10" i="84"/>
  <c r="F10" i="114"/>
  <c r="F10" i="112"/>
  <c r="G10" i="110"/>
  <c r="E10" i="73"/>
  <c r="F10" i="92"/>
  <c r="F9" i="1"/>
  <c r="F8" i="1"/>
  <c r="G7" i="1"/>
  <c r="F6" i="1"/>
  <c r="F4" i="1"/>
  <c r="L54" i="1" l="1"/>
  <c r="M54" i="1"/>
  <c r="G11" i="1"/>
  <c r="J45" i="1"/>
  <c r="G34" i="1"/>
  <c r="G39" i="1"/>
  <c r="G13" i="1"/>
  <c r="I36" i="1"/>
  <c r="G41" i="1"/>
  <c r="G17" i="1"/>
  <c r="H50" i="1"/>
  <c r="G14" i="1"/>
  <c r="G18" i="1"/>
  <c r="H48" i="1"/>
  <c r="H51" i="1"/>
  <c r="G46" i="1"/>
  <c r="H26" i="1"/>
  <c r="H25" i="1"/>
  <c r="G40" i="1"/>
  <c r="G22" i="1"/>
  <c r="G10" i="1"/>
  <c r="G16" i="1"/>
  <c r="H30" i="1"/>
  <c r="H23" i="1"/>
  <c r="G35" i="1"/>
  <c r="G15" i="1"/>
  <c r="G20" i="1"/>
  <c r="G12" i="1"/>
  <c r="H19" i="1"/>
  <c r="G24" i="1"/>
  <c r="H47" i="1"/>
  <c r="H31" i="1"/>
  <c r="H38" i="1"/>
  <c r="G42" i="1"/>
  <c r="G21" i="1"/>
  <c r="H52" i="1"/>
  <c r="G43" i="1"/>
  <c r="H28" i="1"/>
  <c r="G44" i="1"/>
  <c r="H29" i="1"/>
  <c r="K10" i="84"/>
  <c r="G10" i="92"/>
  <c r="F10" i="73"/>
  <c r="G10" i="112"/>
  <c r="H10" i="110"/>
  <c r="G10" i="114"/>
  <c r="G9" i="1"/>
  <c r="G8" i="1"/>
  <c r="H7" i="1"/>
  <c r="G6" i="1"/>
  <c r="G4" i="1"/>
  <c r="I52" i="1" l="1"/>
  <c r="H21" i="1"/>
  <c r="I19" i="1"/>
  <c r="I30" i="1"/>
  <c r="I26" i="1"/>
  <c r="H14" i="1"/>
  <c r="H39" i="1"/>
  <c r="H18" i="1"/>
  <c r="H12" i="1"/>
  <c r="I23" i="1"/>
  <c r="I42" i="1"/>
  <c r="I38" i="1"/>
  <c r="H20" i="1"/>
  <c r="K45" i="1"/>
  <c r="I25" i="1"/>
  <c r="I50" i="1"/>
  <c r="I29" i="1"/>
  <c r="H44" i="1"/>
  <c r="H46" i="1"/>
  <c r="I28" i="1"/>
  <c r="H15" i="1"/>
  <c r="I51" i="1"/>
  <c r="H41" i="1"/>
  <c r="H11" i="1"/>
  <c r="H24" i="1"/>
  <c r="H16" i="1"/>
  <c r="H17" i="1"/>
  <c r="I31" i="1"/>
  <c r="H22" i="1"/>
  <c r="H13" i="1"/>
  <c r="H34" i="1"/>
  <c r="H10" i="1"/>
  <c r="H43" i="1"/>
  <c r="I47" i="1"/>
  <c r="H35" i="1"/>
  <c r="H40" i="1"/>
  <c r="I48" i="1"/>
  <c r="J36" i="1"/>
  <c r="L10" i="84"/>
  <c r="H10" i="114"/>
  <c r="H10" i="112"/>
  <c r="I10" i="110"/>
  <c r="G10" i="73"/>
  <c r="H10" i="92"/>
  <c r="H9" i="1"/>
  <c r="H8" i="1"/>
  <c r="I7" i="1"/>
  <c r="H6" i="1"/>
  <c r="H4" i="1"/>
  <c r="J23" i="1" l="1"/>
  <c r="L45" i="1"/>
  <c r="I41" i="1"/>
  <c r="J31" i="1"/>
  <c r="J26" i="1"/>
  <c r="J50" i="1"/>
  <c r="J29" i="1"/>
  <c r="J38" i="1"/>
  <c r="I15" i="1"/>
  <c r="I10" i="1"/>
  <c r="J19" i="1"/>
  <c r="I24" i="1"/>
  <c r="I18" i="1"/>
  <c r="I21" i="1"/>
  <c r="I35" i="1"/>
  <c r="J42" i="1"/>
  <c r="I43" i="1"/>
  <c r="I12" i="1"/>
  <c r="I46" i="1"/>
  <c r="I22" i="1"/>
  <c r="J30" i="1"/>
  <c r="I16" i="1"/>
  <c r="J25" i="1"/>
  <c r="J48" i="1"/>
  <c r="I13" i="1"/>
  <c r="I44" i="1"/>
  <c r="I20" i="1"/>
  <c r="I39" i="1"/>
  <c r="I14" i="1"/>
  <c r="J51" i="1"/>
  <c r="I17" i="1"/>
  <c r="K36" i="1"/>
  <c r="J28" i="1"/>
  <c r="I34" i="1"/>
  <c r="I40" i="1"/>
  <c r="I11" i="1"/>
  <c r="J52" i="1"/>
  <c r="M10" i="84"/>
  <c r="J10" i="110"/>
  <c r="I10" i="112"/>
  <c r="I10" i="92"/>
  <c r="H10" i="73"/>
  <c r="I10" i="114"/>
  <c r="I9" i="1"/>
  <c r="I8" i="1"/>
  <c r="J7" i="1"/>
  <c r="I6" i="1"/>
  <c r="I4" i="1"/>
  <c r="M45" i="1" l="1"/>
  <c r="N45" i="1"/>
  <c r="K23" i="1"/>
  <c r="K48" i="1"/>
  <c r="L36" i="1"/>
  <c r="K25" i="1"/>
  <c r="J46" i="1"/>
  <c r="K50" i="1"/>
  <c r="J43" i="1"/>
  <c r="J13" i="1"/>
  <c r="J24" i="1"/>
  <c r="J14" i="1"/>
  <c r="K26" i="1"/>
  <c r="J10" i="1"/>
  <c r="J20" i="1"/>
  <c r="K30" i="1"/>
  <c r="J35" i="1"/>
  <c r="J15" i="1"/>
  <c r="K31" i="1"/>
  <c r="J40" i="1"/>
  <c r="K28" i="1"/>
  <c r="J21" i="1"/>
  <c r="J11" i="1"/>
  <c r="J12" i="1"/>
  <c r="J34" i="1"/>
  <c r="J17" i="1"/>
  <c r="J22" i="1"/>
  <c r="K38" i="1"/>
  <c r="J18" i="1"/>
  <c r="K29" i="1"/>
  <c r="K51" i="1"/>
  <c r="K19" i="1"/>
  <c r="K42" i="1"/>
  <c r="J16" i="1"/>
  <c r="K52" i="1"/>
  <c r="N52" i="1"/>
  <c r="J44" i="1"/>
  <c r="J41" i="1"/>
  <c r="I10" i="73"/>
  <c r="J10" i="114"/>
  <c r="J10" i="92"/>
  <c r="J10" i="112"/>
  <c r="K10" i="110"/>
  <c r="J9" i="1"/>
  <c r="J8" i="1"/>
  <c r="K7" i="1"/>
  <c r="J6" i="1"/>
  <c r="J4" i="1"/>
  <c r="L31" i="1" l="1"/>
  <c r="L25" i="1"/>
  <c r="M36" i="1"/>
  <c r="L30" i="1"/>
  <c r="L28" i="1"/>
  <c r="L19" i="1"/>
  <c r="M23" i="1"/>
  <c r="L23" i="1"/>
  <c r="L26" i="1"/>
  <c r="M26" i="1"/>
  <c r="L38" i="1"/>
  <c r="L51" i="1"/>
  <c r="M48" i="1"/>
  <c r="L48" i="1"/>
  <c r="L50" i="1"/>
  <c r="M50" i="1"/>
  <c r="K35" i="1"/>
  <c r="K41" i="1"/>
  <c r="K13" i="1"/>
  <c r="K20" i="1"/>
  <c r="K12" i="1"/>
  <c r="K43" i="1"/>
  <c r="K10" i="1"/>
  <c r="K16" i="1"/>
  <c r="K11" i="1"/>
  <c r="K46" i="1"/>
  <c r="K24" i="1"/>
  <c r="N34" i="1"/>
  <c r="K34" i="1"/>
  <c r="L52" i="1"/>
  <c r="M52" i="1"/>
  <c r="K40" i="1"/>
  <c r="K17" i="1"/>
  <c r="K44" i="1"/>
  <c r="L29" i="1"/>
  <c r="K18" i="1"/>
  <c r="M42" i="1"/>
  <c r="L42" i="1"/>
  <c r="K22" i="1"/>
  <c r="K21" i="1"/>
  <c r="K15" i="1"/>
  <c r="K14" i="1"/>
  <c r="K10" i="92"/>
  <c r="K10" i="114"/>
  <c r="L10" i="110"/>
  <c r="K10" i="112"/>
  <c r="J10" i="73"/>
  <c r="K9" i="1"/>
  <c r="K8" i="1"/>
  <c r="L7" i="1"/>
  <c r="K6" i="1"/>
  <c r="K4" i="1"/>
  <c r="N36" i="1" l="1"/>
  <c r="O36" i="1"/>
  <c r="M25" i="1"/>
  <c r="N25" i="1"/>
  <c r="M19" i="1"/>
  <c r="N19" i="1"/>
  <c r="M38" i="1"/>
  <c r="N38" i="1"/>
  <c r="M31" i="1"/>
  <c r="N31" i="1"/>
  <c r="M28" i="1"/>
  <c r="N28" i="1"/>
  <c r="M30" i="1"/>
  <c r="N29" i="1"/>
  <c r="L10" i="1"/>
  <c r="M51" i="1"/>
  <c r="L11" i="1"/>
  <c r="L21" i="1"/>
  <c r="L40" i="1"/>
  <c r="M40" i="1"/>
  <c r="L24" i="1"/>
  <c r="M24" i="1"/>
  <c r="L18" i="1"/>
  <c r="L44" i="1"/>
  <c r="M44" i="1"/>
  <c r="L46" i="1"/>
  <c r="M46" i="1"/>
  <c r="L20" i="1"/>
  <c r="M20" i="1"/>
  <c r="L17" i="1"/>
  <c r="L12" i="1"/>
  <c r="M12" i="1"/>
  <c r="L35" i="1"/>
  <c r="L22" i="1"/>
  <c r="L16" i="1"/>
  <c r="M34" i="1"/>
  <c r="L34" i="1"/>
  <c r="L14" i="1"/>
  <c r="L15" i="1"/>
  <c r="M43" i="1"/>
  <c r="L43" i="1"/>
  <c r="L13" i="1"/>
  <c r="L41" i="1"/>
  <c r="L10" i="112"/>
  <c r="K10" i="73"/>
  <c r="L10" i="92"/>
  <c r="M10" i="110"/>
  <c r="L10" i="114"/>
  <c r="L9" i="1"/>
  <c r="L8" i="1"/>
  <c r="M7" i="1"/>
  <c r="L6" i="1"/>
  <c r="L4" i="1"/>
  <c r="N51" i="1" l="1"/>
  <c r="O51" i="1"/>
  <c r="N30" i="1"/>
  <c r="O30" i="1"/>
  <c r="M17" i="1"/>
  <c r="N17" i="1"/>
  <c r="M41" i="1"/>
  <c r="M18" i="1"/>
  <c r="N18" i="1"/>
  <c r="M21" i="1"/>
  <c r="M11" i="1"/>
  <c r="N11" i="1"/>
  <c r="M22" i="1"/>
  <c r="M16" i="1"/>
  <c r="M13" i="1"/>
  <c r="M15" i="1"/>
  <c r="M14" i="1"/>
  <c r="M10" i="1"/>
  <c r="M35" i="1"/>
  <c r="N35" i="1"/>
  <c r="L10" i="73"/>
  <c r="M10" i="114"/>
  <c r="M10" i="92"/>
  <c r="M10" i="112"/>
  <c r="M9" i="1"/>
  <c r="M8" i="1"/>
  <c r="O7" i="1"/>
  <c r="N7" i="1"/>
  <c r="M6" i="1"/>
  <c r="M4" i="1"/>
  <c r="N10" i="1" l="1"/>
  <c r="O10" i="1"/>
  <c r="N13" i="1"/>
  <c r="O13" i="1"/>
  <c r="N16" i="1"/>
  <c r="O16" i="1"/>
  <c r="N21" i="1"/>
  <c r="O21" i="1"/>
  <c r="N14" i="1"/>
  <c r="O14" i="1"/>
  <c r="N22" i="1"/>
  <c r="O22" i="1"/>
  <c r="N15" i="1"/>
  <c r="O15" i="1"/>
  <c r="N41" i="1"/>
  <c r="M10" i="73"/>
  <c r="O9" i="1"/>
  <c r="N9" i="1"/>
  <c r="O8" i="1"/>
  <c r="N8" i="1"/>
  <c r="O6" i="1"/>
  <c r="N6" i="1"/>
  <c r="O4" i="1"/>
  <c r="N4" i="1"/>
  <c r="O41" i="1" l="1"/>
  <c r="N5" i="124"/>
  <c r="N10" i="124" s="1"/>
  <c r="P36" i="1" s="1"/>
  <c r="C3" i="1" l="1"/>
  <c r="C59" i="1" s="1"/>
  <c r="D3" i="1"/>
  <c r="P3" i="1" l="1"/>
  <c r="E3" i="1"/>
  <c r="F3" i="1" l="1"/>
  <c r="G3" i="1" l="1"/>
  <c r="H3" i="1" l="1"/>
  <c r="I3" i="1" l="1"/>
  <c r="J3" i="1" l="1"/>
  <c r="K3" i="1" l="1"/>
  <c r="N10" i="116"/>
  <c r="P53" i="1" s="1"/>
  <c r="L3" i="1" l="1"/>
  <c r="E53" i="1"/>
  <c r="D53" i="1"/>
  <c r="M3" i="1" l="1"/>
  <c r="F53" i="1"/>
  <c r="N3" i="1" l="1"/>
  <c r="G53" i="1"/>
  <c r="H53" i="1" l="1"/>
  <c r="I53" i="1" l="1"/>
  <c r="J53" i="1" l="1"/>
  <c r="K53" i="1" l="1"/>
  <c r="N10" i="96"/>
  <c r="P49" i="1" s="1"/>
  <c r="L53" i="1" l="1"/>
  <c r="E49" i="1"/>
  <c r="N53" i="1" l="1"/>
  <c r="F49" i="1"/>
  <c r="M53" i="1" l="1"/>
  <c r="G49" i="1"/>
  <c r="H49" i="1" l="1"/>
  <c r="I49" i="1" l="1"/>
  <c r="J49" i="1" l="1"/>
  <c r="N10" i="99"/>
  <c r="D27" i="1"/>
  <c r="D59" i="1" s="1"/>
  <c r="P27" i="1" l="1"/>
  <c r="K49" i="1"/>
  <c r="E27" i="1"/>
  <c r="E59" i="1" s="1"/>
  <c r="L49" i="1" l="1"/>
  <c r="F27" i="1"/>
  <c r="F59" i="1" s="1"/>
  <c r="M49" i="1" l="1"/>
  <c r="G27" i="1"/>
  <c r="G59" i="1" s="1"/>
  <c r="H27" i="1" l="1"/>
  <c r="H59" i="1" s="1"/>
  <c r="I27" i="1" l="1"/>
  <c r="I59" i="1" s="1"/>
  <c r="J27" i="1" l="1"/>
  <c r="K27" i="1" l="1"/>
  <c r="L27" i="1" l="1"/>
  <c r="M27" i="1" l="1"/>
  <c r="N27" i="1"/>
  <c r="N5" i="44"/>
  <c r="H10" i="44"/>
  <c r="N6" i="44"/>
  <c r="H10" i="80"/>
  <c r="N5" i="80"/>
  <c r="N10" i="80" s="1"/>
  <c r="P47" i="1" s="1"/>
  <c r="J39" i="1" l="1"/>
  <c r="I10" i="44"/>
  <c r="J47" i="1"/>
  <c r="J59" i="1" s="1"/>
  <c r="I10" i="80"/>
  <c r="N10" i="44"/>
  <c r="P39" i="1" l="1"/>
  <c r="P59" i="1" s="1"/>
  <c r="J10" i="44"/>
  <c r="K39" i="1"/>
  <c r="J10" i="80"/>
  <c r="K47" i="1"/>
  <c r="K59" i="1" s="1"/>
  <c r="K10" i="44" l="1"/>
  <c r="L39" i="1"/>
  <c r="K10" i="80"/>
  <c r="M47" i="1" s="1"/>
  <c r="L47" i="1"/>
  <c r="L59" i="1" s="1"/>
  <c r="L10" i="44" l="1"/>
  <c r="M39" i="1"/>
  <c r="M59" i="1" s="1"/>
  <c r="M10" i="44" l="1"/>
  <c r="O39" i="1" s="1"/>
  <c r="O59" i="1" s="1"/>
  <c r="N39" i="1"/>
  <c r="N59" i="1" s="1"/>
</calcChain>
</file>

<file path=xl/comments1.xml><?xml version="1.0" encoding="utf-8"?>
<comments xmlns="http://schemas.openxmlformats.org/spreadsheetml/2006/main">
  <authors>
    <author>Author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Trong đó 50tr tiền đơn gối đầu theo hợp đồng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đến tháng 5/2024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family val="2"/>
          </rPr>
          <t xml:space="preserve">
Thanh toán ngay, còn 2 đơn xuất trả chưa cấn trừ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gối tháng, còn công nợ tháng 7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7/2024 
20/11 thanh toán hết tháng 9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9/2024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9/2024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Ngừng cung ứng, thanh toán dần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gối tháng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Dừng cung ứng, chưa thanh toán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Dừng cung ứng, chưa thanh toán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Anh Bách đã thu 5tr, chưa trả quỹ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công nợ tháng 9
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thánh toán tháng 1
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 xml:space="preserve">Author:
Đã thanh toán tháng 3,4 6. Còn công nợ 2023, tháng 1, 2, 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hàng trả T08.24, T09.24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chiết khấu T08+09, T10 mới xuất hóa đơn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Trong đó có 17,9tr là đơn gối đầu của những năm trước. Sau khi tất toán hợp đồng sẽ thanh toán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758,822 đ trả cho Minh Cầu do tất toán trả hàng 2023 (hàng trả từ 06/2023 - 12/2023 = đã chi TM)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12,387,386đ hàng trả T6.24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Hàng trả T07+08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Hàng trả T09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448,487đ hỗ trợ T6.24
-1,100,851đ hoàn hỗ trợ T2-T5.24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Hỗ trợ T07,08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Hỗ trợ T09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Giao hàng 31.05, xuất HĐ T06</t>
        </r>
      </text>
    </comment>
  </commentList>
</comments>
</file>

<file path=xl/sharedStrings.xml><?xml version="1.0" encoding="utf-8"?>
<sst xmlns="http://schemas.openxmlformats.org/spreadsheetml/2006/main" count="2020" uniqueCount="177">
  <si>
    <t>STT</t>
  </si>
  <si>
    <t>TÊN KHÁCH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</si>
  <si>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</si>
  <si>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</si>
  <si>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</si>
  <si>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</si>
  <si>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</si>
  <si>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</si>
  <si>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</si>
  <si>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</si>
  <si>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</si>
  <si>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</si>
  <si>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</si>
  <si>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</si>
  <si>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</si>
  <si>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Người phụ trách</t>
  </si>
  <si>
    <t>ĐÔNG HƯNG (AEON)</t>
  </si>
  <si>
    <t>WINCOMMERCE</t>
  </si>
  <si>
    <t>BRG</t>
  </si>
  <si>
    <t>COOP</t>
  </si>
  <si>
    <t>EB - BIGC</t>
  </si>
  <si>
    <t>GS25</t>
  </si>
  <si>
    <t>LOTTE</t>
  </si>
  <si>
    <t>MEGA</t>
  </si>
  <si>
    <t>SATRA - SIÊU THỊ SÀI GÒN</t>
  </si>
  <si>
    <t>SATRA ĐƯỜNG PHẠM HÙNG</t>
  </si>
  <si>
    <t>SATRA CỦ CHI</t>
  </si>
  <si>
    <t>ĐẠI THANH HẢI</t>
  </si>
  <si>
    <t>T - MARTSTORES</t>
  </si>
  <si>
    <t>SIBA FOOD</t>
  </si>
  <si>
    <t>NHẬT MINH</t>
  </si>
  <si>
    <t>VIỆT Ý HÀ NỘI</t>
  </si>
  <si>
    <t>VIỆT Ý NHA TRANG</t>
  </si>
  <si>
    <t>LARIA</t>
  </si>
  <si>
    <t>NOVA</t>
  </si>
  <si>
    <t>SEVEN</t>
  </si>
  <si>
    <t>SÀI GÒN HD</t>
  </si>
  <si>
    <t>SÀNH ĐIỆU</t>
  </si>
  <si>
    <t>CLEVERFOOD</t>
  </si>
  <si>
    <t>UNO</t>
  </si>
  <si>
    <t>RETAIL</t>
  </si>
  <si>
    <t>SHINSEN GROUP</t>
  </si>
  <si>
    <t>V+HÒA BÌNH</t>
  </si>
  <si>
    <t>NHẬT THƯƠNG</t>
  </si>
  <si>
    <t>CƯỜNG GIA PHÁT</t>
  </si>
  <si>
    <t>BÍCH CẦU</t>
  </si>
  <si>
    <t>EPCOSTORE</t>
  </si>
  <si>
    <t>FANSIPAN</t>
  </si>
  <si>
    <t>FINEMART</t>
  </si>
  <si>
    <t>FOODMART</t>
  </si>
  <si>
    <t>GIA ĐÌNH VIỆT NAM</t>
  </si>
  <si>
    <t>GRELI</t>
  </si>
  <si>
    <t>GTGL</t>
  </si>
  <si>
    <t>HÀ ĐĂNG</t>
  </si>
  <si>
    <t>HAPPYMART</t>
  </si>
  <si>
    <t>HIỀN LƯƠNG</t>
  </si>
  <si>
    <t>HTL - TOMO</t>
  </si>
  <si>
    <t>HƯNG THỊNH</t>
  </si>
  <si>
    <t>INTIMEX ĐÀ NẴNG</t>
  </si>
  <si>
    <t>KA</t>
  </si>
  <si>
    <t>KING FOOD</t>
  </si>
  <si>
    <t>K&amp;K</t>
  </si>
  <si>
    <t>EAST WEST BREWING</t>
  </si>
  <si>
    <t>KHẢI SAN - HNT</t>
  </si>
  <si>
    <t>LOCALMART</t>
  </si>
  <si>
    <t>MỸ ĐỨC BÌNH ĐIỀN</t>
  </si>
  <si>
    <t>MEKONG GOURMET</t>
  </si>
  <si>
    <t>MINH CẦU</t>
  </si>
  <si>
    <t>NGUYỄN CỬU</t>
  </si>
  <si>
    <t>PTMART</t>
  </si>
  <si>
    <t>SMARTGAP</t>
  </si>
  <si>
    <t>SONG NGỌC</t>
  </si>
  <si>
    <t>SONG NGUYỄN</t>
  </si>
  <si>
    <t>ANH ĐĂNG TMART</t>
  </si>
  <si>
    <t>TTMFARM</t>
  </si>
  <si>
    <t>THFOOD</t>
  </si>
  <si>
    <t>XUÂN ĐIỀN SÀI GÒN</t>
  </si>
  <si>
    <t>TT ĐIỀU HÀNH SATRAFOOD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</si>
  <si>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</si>
  <si>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</si>
  <si>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</si>
  <si>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</si>
  <si>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</si>
  <si>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</si>
  <si>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</si>
  <si>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</si>
  <si>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</si>
  <si>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</si>
  <si>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</si>
  <si>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</si>
  <si>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</si>
  <si>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</si>
  <si>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</si>
  <si>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CHIẾT KHẤU</t>
  </si>
  <si>
    <t>VẬN CHUYỂN</t>
  </si>
  <si>
    <t>THANH TOÁN</t>
  </si>
  <si>
    <t>CÒN NỢ</t>
  </si>
  <si>
    <t>Số dư đầu kỳ (2022)</t>
  </si>
  <si>
    <t>AEON CITIMART - ĐÔNG HƯNG</t>
  </si>
  <si>
    <t xml:space="preserve">            </t>
  </si>
  <si>
    <t>SMART - SUNSHINE</t>
  </si>
  <si>
    <t>UNIT - ECOMART</t>
  </si>
  <si>
    <t>DOANH SỐ</t>
  </si>
  <si>
    <t>CKDS KĐK</t>
  </si>
  <si>
    <t>CK MKT</t>
  </si>
  <si>
    <t>Hồng</t>
  </si>
  <si>
    <t>Quay lại trang tổng hợp</t>
  </si>
  <si>
    <t>HTL-TOMO</t>
  </si>
  <si>
    <t xml:space="preserve"> </t>
  </si>
  <si>
    <t>EB - BIG C</t>
  </si>
  <si>
    <t>Vũ</t>
  </si>
  <si>
    <t>TRUNG TÂM ĐIỀU HÀNH SATRAFOODS</t>
  </si>
  <si>
    <t>V+ HÒA BÌNH</t>
  </si>
  <si>
    <t>UNIT-ECOMART</t>
  </si>
  <si>
    <t>NHẬT MINH - OSIFOOD</t>
  </si>
  <si>
    <t>FM - LARIA</t>
  </si>
  <si>
    <t>NOVA COMMERCE</t>
  </si>
  <si>
    <t>SEVEN ELEVEN</t>
  </si>
  <si>
    <t>SÀNH ĐIỆU - ANNAM GOUMET</t>
  </si>
  <si>
    <t>GROVE NEW RETAIL</t>
  </si>
  <si>
    <t>SÀI GÒN MART</t>
  </si>
  <si>
    <t>SHINSHEN</t>
  </si>
  <si>
    <t>SUNSHINE</t>
  </si>
  <si>
    <t>BON BON</t>
  </si>
  <si>
    <t>JMART QUỐC TẾ</t>
  </si>
  <si>
    <t>KINGFOOD</t>
  </si>
  <si>
    <t>OCOFOOD</t>
  </si>
  <si>
    <t>OKONO</t>
  </si>
  <si>
    <t>SIÊU THỊ OKONO</t>
  </si>
  <si>
    <t>VITALGO</t>
  </si>
  <si>
    <t>SIÊU THỊ VITAL GO</t>
  </si>
  <si>
    <t>Phí chuyển khoản</t>
  </si>
  <si>
    <t xml:space="preserve">HỖ TRỢ </t>
  </si>
  <si>
    <t>Chiết khấu thanh toán</t>
  </si>
  <si>
    <t>HỖ TRỢ</t>
  </si>
  <si>
    <t>TELIO</t>
  </si>
  <si>
    <t>SIÊU THỊ TELIO</t>
  </si>
  <si>
    <t>KMARKET</t>
  </si>
  <si>
    <t>SIÊU THỊ KMARKET</t>
  </si>
  <si>
    <t>SIÊU THỊ SÀI GÒN</t>
  </si>
  <si>
    <t>SIÊU THỊ TOMITA</t>
  </si>
  <si>
    <t>TOMITA</t>
  </si>
  <si>
    <t>TERRA</t>
  </si>
  <si>
    <t>Khu vực</t>
  </si>
  <si>
    <t xml:space="preserve">Miền Nam </t>
  </si>
  <si>
    <t>Toàn quốc</t>
  </si>
  <si>
    <t>Miền Bắc</t>
  </si>
  <si>
    <t xml:space="preserve">Miền Bắc </t>
  </si>
  <si>
    <t>SIÊU THỊ TERRA</t>
  </si>
  <si>
    <t>DALATFARM</t>
  </si>
  <si>
    <t>SIÊU THỊ DALATFARM</t>
  </si>
  <si>
    <t>STTHANHCONG</t>
  </si>
  <si>
    <t>SIÊU THỊ STTHANHCONG</t>
  </si>
  <si>
    <t>Số dư đầu kỳ (2023)</t>
  </si>
  <si>
    <t>Nhi</t>
  </si>
  <si>
    <t>,</t>
  </si>
  <si>
    <t>CIRCLE K MB</t>
  </si>
  <si>
    <t>CIRCLE K MN</t>
  </si>
  <si>
    <t>CIRCLE K MIỀN NAM</t>
  </si>
  <si>
    <t>CIRCLE K MIỀN BẮC</t>
  </si>
  <si>
    <t>Hà Nội, Bắc Ninh, Hải Phòng, Hưng Yên, Quảng Ninh</t>
  </si>
  <si>
    <t>Hồ Chí Minh, Vũng Tàu, An Giang, Cần Thơ, Đồng Nai, Tiền Giang</t>
  </si>
  <si>
    <t>ck quý 4/2023</t>
  </si>
  <si>
    <t>đang thanh toán 2 lần công nợ tháng 10 --&gt;12/2023</t>
  </si>
  <si>
    <t>TỔNG HỢP CÔNG NỢ 2024</t>
  </si>
  <si>
    <t>hỗ trợ quý 4 + thưởng doanh số 2023</t>
  </si>
  <si>
    <t>khai trương + thay đổi thông tin sp</t>
  </si>
  <si>
    <t xml:space="preserve">Số dư đầu kỳ thấp là do điều chỉnh công nợ 2023, do Tmart TT thừa 108,842,045 (107,113,673 (3 hđ 13181,13182,22235)+1,728,372)
</t>
  </si>
  <si>
    <t>EASYMART + GTGL</t>
  </si>
  <si>
    <t>hỗ trợ quý 1/2024</t>
  </si>
  <si>
    <t>khai trương ch mới</t>
  </si>
  <si>
    <t>ck quý 1/2024</t>
  </si>
  <si>
    <t>chiết khấu 2023</t>
  </si>
  <si>
    <t>hỗ triwj sinh nhật 2024</t>
  </si>
  <si>
    <t>sinh nhật + khai trương CH mới</t>
  </si>
  <si>
    <t>`</t>
  </si>
  <si>
    <t>CK T11 chưa xuất 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</si>
</sst>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rgb="FFFF0000"/>
      <name val="Times New Roman"/>
      <family val="1"/>
    </font>
    <font>
      <u/>
      <sz val="12"/>
      <color theme="0"/>
      <name val="Times New Roman"/>
      <family val="1"/>
    </font>
    <font>
      <sz val="12"/>
      <color rgb="FF0000FF"/>
      <name val="Times New Roman"/>
      <family val="1"/>
    </font>
    <font>
      <sz val="11"/>
      <name val=".VnTime"/>
      <family val="2"/>
    </font>
    <font>
      <sz val="10"/>
      <name val="Arial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right" wrapText="1"/>
    </xf>
    <xf numFmtId="166" fontId="7" fillId="2" borderId="0" xfId="1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38" fontId="6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6" fontId="7" fillId="0" borderId="1" xfId="1" applyNumberFormat="1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vertical="center"/>
    </xf>
    <xf numFmtId="166" fontId="7" fillId="0" borderId="1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/>
    </xf>
    <xf numFmtId="0" fontId="14" fillId="0" borderId="1" xfId="2" applyFont="1" applyBorder="1" applyAlignment="1">
      <alignment vertical="center"/>
    </xf>
    <xf numFmtId="166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66" fontId="7" fillId="2" borderId="1" xfId="0" applyNumberFormat="1" applyFont="1" applyFill="1" applyBorder="1" applyAlignment="1">
      <alignment wrapText="1"/>
    </xf>
    <xf numFmtId="166" fontId="17" fillId="0" borderId="0" xfId="1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166" fontId="7" fillId="2" borderId="0" xfId="1" applyNumberFormat="1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38" fontId="6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7" fillId="2" borderId="0" xfId="1" applyNumberFormat="1" applyFont="1" applyFill="1" applyAlignment="1">
      <alignment horizontal="right" wrapText="1"/>
    </xf>
    <xf numFmtId="166" fontId="13" fillId="0" borderId="1" xfId="3" applyNumberFormat="1" applyFont="1" applyBorder="1"/>
    <xf numFmtId="166" fontId="13" fillId="0" borderId="1" xfId="3" applyNumberFormat="1" applyFont="1" applyBorder="1" applyAlignment="1">
      <alignment horizontal="center"/>
    </xf>
    <xf numFmtId="9" fontId="6" fillId="0" borderId="0" xfId="0" applyNumberFormat="1" applyFont="1"/>
    <xf numFmtId="166" fontId="6" fillId="0" borderId="1" xfId="1" applyNumberFormat="1" applyFont="1" applyBorder="1" applyAlignment="1"/>
    <xf numFmtId="0" fontId="10" fillId="0" borderId="0" xfId="0" applyFont="1"/>
    <xf numFmtId="166" fontId="6" fillId="0" borderId="1" xfId="0" applyNumberFormat="1" applyFont="1" applyBorder="1"/>
    <xf numFmtId="166" fontId="13" fillId="3" borderId="1" xfId="1" applyNumberFormat="1" applyFont="1" applyFill="1" applyBorder="1" applyAlignment="1">
      <alignment horizontal="center"/>
    </xf>
    <xf numFmtId="166" fontId="13" fillId="0" borderId="1" xfId="1" applyNumberFormat="1" applyFont="1" applyBorder="1"/>
    <xf numFmtId="166" fontId="6" fillId="5" borderId="1" xfId="1" applyNumberFormat="1" applyFont="1" applyFill="1" applyBorder="1" applyAlignment="1">
      <alignment vertical="center"/>
    </xf>
    <xf numFmtId="167" fontId="6" fillId="0" borderId="1" xfId="3" applyNumberFormat="1" applyFont="1" applyBorder="1" applyAlignment="1">
      <alignment horizontal="center"/>
    </xf>
    <xf numFmtId="166" fontId="6" fillId="0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wrapText="1"/>
    </xf>
    <xf numFmtId="166" fontId="6" fillId="0" borderId="0" xfId="1" applyNumberFormat="1" applyFont="1" applyBorder="1" applyAlignment="1">
      <alignment wrapText="1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166" fontId="6" fillId="0" borderId="0" xfId="1" applyNumberFormat="1" applyFont="1" applyAlignment="1">
      <alignment wrapText="1"/>
    </xf>
    <xf numFmtId="167" fontId="13" fillId="0" borderId="1" xfId="3" applyNumberFormat="1" applyFont="1" applyFill="1" applyBorder="1" applyAlignment="1">
      <alignment horizontal="right" vertical="center"/>
    </xf>
    <xf numFmtId="166" fontId="6" fillId="0" borderId="1" xfId="5" applyNumberFormat="1" applyFont="1" applyBorder="1" applyAlignment="1">
      <alignment wrapText="1"/>
    </xf>
    <xf numFmtId="166" fontId="6" fillId="0" borderId="0" xfId="0" applyNumberFormat="1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2" borderId="1" xfId="2" applyFont="1" applyFill="1" applyBorder="1" applyAlignment="1">
      <alignment vertical="center"/>
    </xf>
    <xf numFmtId="0" fontId="21" fillId="4" borderId="1" xfId="2" applyFont="1" applyFill="1" applyBorder="1" applyAlignment="1">
      <alignment vertical="center"/>
    </xf>
    <xf numFmtId="0" fontId="14" fillId="5" borderId="1" xfId="2" applyFont="1" applyFill="1" applyBorder="1" applyAlignment="1">
      <alignment vertical="center"/>
    </xf>
    <xf numFmtId="0" fontId="14" fillId="3" borderId="1" xfId="2" applyFont="1" applyFill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22" fillId="0" borderId="0" xfId="0" applyFont="1" applyAlignment="1">
      <alignment vertical="center"/>
    </xf>
    <xf numFmtId="166" fontId="6" fillId="0" borderId="1" xfId="1" applyNumberFormat="1" applyFont="1" applyBorder="1"/>
    <xf numFmtId="167" fontId="6" fillId="0" borderId="0" xfId="0" applyNumberFormat="1" applyFont="1" applyAlignment="1">
      <alignment wrapText="1"/>
    </xf>
    <xf numFmtId="38" fontId="6" fillId="0" borderId="3" xfId="1" applyNumberFormat="1" applyFont="1" applyBorder="1" applyAlignment="1">
      <alignment wrapText="1"/>
    </xf>
    <xf numFmtId="43" fontId="6" fillId="0" borderId="0" xfId="0" applyNumberFormat="1" applyFont="1" applyAlignment="1">
      <alignment wrapText="1"/>
    </xf>
    <xf numFmtId="38" fontId="25" fillId="3" borderId="1" xfId="4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4" borderId="0" xfId="0" applyFont="1" applyFill="1" applyAlignment="1">
      <alignment vertical="center"/>
    </xf>
    <xf numFmtId="0" fontId="14" fillId="0" borderId="1" xfId="2" applyFont="1" applyFill="1" applyBorder="1" applyAlignment="1">
      <alignment vertical="center"/>
    </xf>
    <xf numFmtId="0" fontId="14" fillId="0" borderId="3" xfId="2" applyFont="1" applyFill="1" applyBorder="1" applyAlignment="1">
      <alignment vertical="center"/>
    </xf>
    <xf numFmtId="166" fontId="0" fillId="0" borderId="0" xfId="0" applyNumberFormat="1"/>
    <xf numFmtId="0" fontId="6" fillId="0" borderId="0" xfId="0" applyFont="1" applyAlignment="1"/>
    <xf numFmtId="167" fontId="19" fillId="0" borderId="1" xfId="3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1" xfId="1" applyNumberFormat="1" applyFont="1" applyFill="1" applyBorder="1" applyAlignment="1">
      <alignment horizontal="right" vertical="center" wrapText="1"/>
    </xf>
    <xf numFmtId="38" fontId="13" fillId="3" borderId="1" xfId="8" applyNumberFormat="1" applyFont="1" applyFill="1" applyBorder="1" applyAlignment="1">
      <alignment horizontal="right" vertical="center" wrapText="1"/>
    </xf>
    <xf numFmtId="38" fontId="25" fillId="0" borderId="1" xfId="8" applyNumberFormat="1" applyFont="1" applyBorder="1" applyAlignment="1">
      <alignment horizontal="right" vertical="center"/>
    </xf>
    <xf numFmtId="167" fontId="6" fillId="0" borderId="0" xfId="1" applyNumberFormat="1" applyFont="1"/>
    <xf numFmtId="164" fontId="6" fillId="0" borderId="0" xfId="1" applyFont="1" applyAlignment="1">
      <alignment wrapText="1"/>
    </xf>
    <xf numFmtId="164" fontId="6" fillId="0" borderId="0" xfId="0" applyNumberFormat="1" applyFont="1" applyAlignment="1">
      <alignment wrapText="1"/>
    </xf>
    <xf numFmtId="10" fontId="6" fillId="0" borderId="0" xfId="13" applyNumberFormat="1" applyFont="1" applyAlignment="1">
      <alignment wrapText="1"/>
    </xf>
    <xf numFmtId="38" fontId="0" fillId="0" borderId="0" xfId="0" applyNumberFormat="1"/>
    <xf numFmtId="38" fontId="17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14">
    <cellStyle name="Comma" xfId="1" builtinId="3"/>
    <cellStyle name="Comma 2" xfId="3"/>
    <cellStyle name="Comma 2 2" xfId="6"/>
    <cellStyle name="Comma 2 3" xfId="10"/>
    <cellStyle name="Comma 2 4" xfId="11"/>
    <cellStyle name="Comma 3" xfId="5"/>
    <cellStyle name="Hyperlink" xfId="2" builtinId="8"/>
    <cellStyle name="Normal" xfId="0" builtinId="0"/>
    <cellStyle name="Normal 2" xfId="4"/>
    <cellStyle name="Normal 2 2" xfId="9"/>
    <cellStyle name="Normal 3" xfId="7"/>
    <cellStyle name="Normal 3 2" xfId="8"/>
    <cellStyle name="Normal 4" xfId="12"/>
    <cellStyle name="Percent" xfId="1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"/>
  <sheetViews>
    <sheetView tabSelected="1" zoomScale="90" zoomScaleNormal="90" workbookViewId="0">
      <pane xSplit="2" ySplit="2" topLeftCell="G30" activePane="bottomRight" state="frozen"/>
      <selection pane="topRight" activeCell="C1" sqref="C1"/>
      <selection pane="bottomLeft" activeCell="A3" sqref="A3"/>
      <selection pane="bottomRight" sqref="A1:P1"/>
    </sheetView>
  </sheetViews>
  <sheetFormatPr defaultColWidth="9.140625" defaultRowHeight="22.5" customHeight="1" x14ac:dyDescent="0.25"/>
  <cols>
    <col min="1" max="1" width="4.28515625" style="2" customWidth="1"/>
    <col min="2" max="2" width="32.7109375" style="72" customWidth="1"/>
    <col min="3" max="3" width="16.85546875" style="25" customWidth="1"/>
    <col min="4" max="5" width="15.85546875" style="25" customWidth="1"/>
    <col min="6" max="6" width="16.5703125" style="25" customWidth="1"/>
    <col min="7" max="7" width="17.140625" style="25" customWidth="1"/>
    <col min="8" max="8" width="16.7109375" style="25" customWidth="1"/>
    <col min="9" max="9" width="16.85546875" style="25" customWidth="1"/>
    <col min="10" max="10" width="17.42578125" style="25" customWidth="1"/>
    <col min="11" max="15" width="15.85546875" style="25" customWidth="1"/>
    <col min="16" max="16" width="17.85546875" style="25" customWidth="1"/>
    <col min="17" max="18" width="10.85546875" style="2" customWidth="1"/>
    <col min="19" max="19" width="9.28515625" style="2" customWidth="1"/>
    <col min="20" max="16384" width="9.140625" style="2"/>
  </cols>
  <sheetData>
    <row r="1" spans="1:18" ht="22.5" customHeight="1" x14ac:dyDescent="0.25">
      <c r="A1" s="98" t="s">
        <v>164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1:18" s="4" customFormat="1" ht="33.950000000000003" customHeight="1" x14ac:dyDescent="0.25">
      <c r="A2" s="19" t="s">
        <v>0</v>
      </c>
      <c r="B2" s="66" t="s">
        <v>1</v>
      </c>
      <c r="C2" s="26">
        <v>2023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30" t="s">
        <v>15</v>
      </c>
      <c r="R2" s="30" t="s">
        <v>143</v>
      </c>
    </row>
    <row r="3" spans="1:18" ht="18" customHeight="1" x14ac:dyDescent="0.25">
      <c r="A3" s="20">
        <v>1</v>
      </c>
      <c r="B3" s="28" t="s">
        <v>17</v>
      </c>
      <c r="C3" s="23">
        <f>WIN!$N$3</f>
        <v>10835854794</v>
      </c>
      <c r="D3" s="23">
        <f>WIN!$B$10</f>
        <v>13578218181</v>
      </c>
      <c r="E3" s="23">
        <f>WIN!$C$10</f>
        <v>12581023432</v>
      </c>
      <c r="F3" s="23">
        <f>WIN!$D$10</f>
        <v>8359025778</v>
      </c>
      <c r="G3" s="23">
        <f>WIN!$E$10</f>
        <v>7528928019</v>
      </c>
      <c r="H3" s="23">
        <f>WIN!$F$10</f>
        <v>9826021555</v>
      </c>
      <c r="I3" s="23">
        <f>WIN!$G$10</f>
        <v>9788116444</v>
      </c>
      <c r="J3" s="23">
        <f>WIN!$H$10</f>
        <v>10478660637</v>
      </c>
      <c r="K3" s="23">
        <f>WIN!$I$10</f>
        <v>11396255290</v>
      </c>
      <c r="L3" s="23">
        <f>WIN!$J$10</f>
        <v>12764336576</v>
      </c>
      <c r="M3" s="23">
        <f>WIN!$K$10</f>
        <v>15425278132</v>
      </c>
      <c r="N3" s="23">
        <f>WIN!$L$10</f>
        <v>10014242490</v>
      </c>
      <c r="O3" s="23">
        <v>11486355135</v>
      </c>
      <c r="P3" s="23">
        <f>WIN!$N$10</f>
        <v>11486355135</v>
      </c>
      <c r="Q3" s="2" t="s">
        <v>105</v>
      </c>
      <c r="R3" s="2" t="s">
        <v>145</v>
      </c>
    </row>
    <row r="4" spans="1:18" ht="18" customHeight="1" x14ac:dyDescent="0.25">
      <c r="A4" s="20">
        <v>2</v>
      </c>
      <c r="B4" s="28" t="s">
        <v>156</v>
      </c>
      <c r="C4" s="23">
        <f>'CIRCLEK MB'!$N$3</f>
        <v>140993533</v>
      </c>
      <c r="D4" s="23">
        <f>'CIRCLEK MB'!$B$10</f>
        <v>99999917</v>
      </c>
      <c r="E4" s="23">
        <f>'CIRCLEK MB'!$C$10</f>
        <v>123483265</v>
      </c>
      <c r="F4" s="23">
        <f>'CIRCLEK MB'!$D$10</f>
        <v>116538065</v>
      </c>
      <c r="G4" s="23">
        <f>'CIRCLEK MB'!$E$10</f>
        <v>104854389</v>
      </c>
      <c r="H4" s="23">
        <f>'CIRCLEK MB'!$F$10</f>
        <v>113781799</v>
      </c>
      <c r="I4" s="23">
        <f>'CIRCLEK MB'!$G$10</f>
        <v>139985862</v>
      </c>
      <c r="J4" s="23">
        <f>'CIRCLEK MB'!$H$10</f>
        <v>202906441</v>
      </c>
      <c r="K4" s="23">
        <f>'CIRCLEK MB'!$I$10</f>
        <v>210448215</v>
      </c>
      <c r="L4" s="23">
        <f>'CIRCLEK MB'!$J$10</f>
        <v>165810928</v>
      </c>
      <c r="M4" s="23">
        <f>'CIRCLEK MB'!$K$10</f>
        <v>196010614</v>
      </c>
      <c r="N4" s="23">
        <f>'CIRCLEK MB'!$L$10</f>
        <v>284731950</v>
      </c>
      <c r="O4" s="23">
        <f>'CIRCLEK MB'!$M$10</f>
        <v>303395159</v>
      </c>
      <c r="P4" s="23">
        <f>'CIRCLEK MB'!$N$10</f>
        <v>303395159</v>
      </c>
      <c r="Q4" s="2" t="s">
        <v>110</v>
      </c>
      <c r="R4" s="2" t="s">
        <v>146</v>
      </c>
    </row>
    <row r="5" spans="1:18" ht="18" customHeight="1" x14ac:dyDescent="0.25">
      <c r="A5" s="20">
        <v>3</v>
      </c>
      <c r="B5" s="28" t="s">
        <v>157</v>
      </c>
      <c r="C5" s="23">
        <f>'CIRCLEK MN'!$N$3</f>
        <v>65399503</v>
      </c>
      <c r="D5" s="23">
        <f>'CIRCLEK MN'!$B$10</f>
        <v>38049010</v>
      </c>
      <c r="E5" s="23">
        <f>'CIRCLEK MN'!$C$10</f>
        <v>35498050</v>
      </c>
      <c r="F5" s="23">
        <f>'CIRCLEK MN'!$D$10</f>
        <v>23731594</v>
      </c>
      <c r="G5" s="23">
        <f>'CIRCLEK MN'!$E$10</f>
        <v>21833159</v>
      </c>
      <c r="H5" s="23">
        <f>'CIRCLEK MN'!$F$10</f>
        <v>19600167</v>
      </c>
      <c r="I5" s="23">
        <f>'CIRCLEK MN'!$G$10</f>
        <v>32151369</v>
      </c>
      <c r="J5" s="23">
        <f>'CIRCLEK MN'!$H$10</f>
        <v>56874155</v>
      </c>
      <c r="K5" s="23">
        <f>'CIRCLEK MN'!$I$10</f>
        <v>47252921</v>
      </c>
      <c r="L5" s="23">
        <f>'CIRCLEK MN'!$J$10</f>
        <v>25144960</v>
      </c>
      <c r="M5" s="23">
        <f>'CIRCLEK MN'!$K$10</f>
        <v>87818151</v>
      </c>
      <c r="N5" s="23">
        <f>'CIRCLEK MN'!$L$10</f>
        <v>167466445</v>
      </c>
      <c r="O5" s="23">
        <f>'CIRCLEK MN'!$M$10</f>
        <v>163623616</v>
      </c>
      <c r="P5" s="23">
        <f>'CIRCLEK MN'!$N$10</f>
        <v>163623616</v>
      </c>
      <c r="Q5" s="2" t="s">
        <v>110</v>
      </c>
      <c r="R5" s="2" t="s">
        <v>144</v>
      </c>
    </row>
    <row r="6" spans="1:18" ht="18" customHeight="1" x14ac:dyDescent="0.25">
      <c r="A6" s="20">
        <v>4</v>
      </c>
      <c r="B6" s="81" t="s">
        <v>20</v>
      </c>
      <c r="C6" s="23">
        <f>BIGC!$N$3</f>
        <v>946487274</v>
      </c>
      <c r="D6" s="23">
        <f>BIGC!$B$10</f>
        <v>1156575375</v>
      </c>
      <c r="E6" s="23">
        <f>BIGC!$C$10</f>
        <v>849015740</v>
      </c>
      <c r="F6" s="23">
        <f>BIGC!$D$10</f>
        <v>627121624</v>
      </c>
      <c r="G6" s="23">
        <f>BIGC!$E$10</f>
        <v>608506092</v>
      </c>
      <c r="H6" s="23">
        <f>BIGC!$F$10</f>
        <v>568211146</v>
      </c>
      <c r="I6" s="23">
        <f>BIGC!$G$10</f>
        <v>599937875</v>
      </c>
      <c r="J6" s="23">
        <f>BIGC!$H$10</f>
        <v>728734654</v>
      </c>
      <c r="K6" s="23">
        <f>BIGC!$I$10</f>
        <v>924952324</v>
      </c>
      <c r="L6" s="23">
        <f>BIGC!$J$10</f>
        <v>778122986</v>
      </c>
      <c r="M6" s="23">
        <f>BIGC!$K$10</f>
        <v>663490062</v>
      </c>
      <c r="N6" s="23">
        <f>BIGC!$L$10</f>
        <v>772533879</v>
      </c>
      <c r="O6" s="23">
        <f>BIGC!$M$10</f>
        <v>958930682</v>
      </c>
      <c r="P6" s="23">
        <f>BIGC!$N$10</f>
        <v>958930682</v>
      </c>
      <c r="Q6" s="2" t="s">
        <v>110</v>
      </c>
      <c r="R6" s="2" t="s">
        <v>145</v>
      </c>
    </row>
    <row r="7" spans="1:18" ht="18" customHeight="1" x14ac:dyDescent="0.25">
      <c r="A7" s="20">
        <v>5</v>
      </c>
      <c r="B7" s="81" t="s">
        <v>22</v>
      </c>
      <c r="C7" s="23">
        <f>LOTTE!$N$3</f>
        <v>40809460</v>
      </c>
      <c r="D7" s="23">
        <f>LOTTE!$B$10</f>
        <v>174993589</v>
      </c>
      <c r="E7" s="23">
        <f>LOTTE!$C$10</f>
        <v>142343677</v>
      </c>
      <c r="F7" s="23">
        <f>LOTTE!$D$10</f>
        <v>80490315</v>
      </c>
      <c r="G7" s="23">
        <f>LOTTE!$E$10</f>
        <v>53249783</v>
      </c>
      <c r="H7" s="23">
        <f>LOTTE!$F$10</f>
        <v>61423164</v>
      </c>
      <c r="I7" s="23">
        <f>LOTTE!$G$10</f>
        <v>72041304</v>
      </c>
      <c r="J7" s="23">
        <f>LOTTE!$H$10</f>
        <v>39526422</v>
      </c>
      <c r="K7" s="23">
        <f>LOTTE!$I$10</f>
        <v>68897170</v>
      </c>
      <c r="L7" s="23">
        <f>LOTTE!$J$10</f>
        <v>62603242</v>
      </c>
      <c r="M7" s="23">
        <f>LOTTE!$K$10</f>
        <v>56761242</v>
      </c>
      <c r="N7" s="23">
        <f>LOTTE!$L$10</f>
        <v>87643114</v>
      </c>
      <c r="O7" s="23">
        <f>LOTTE!$M$10</f>
        <v>151744273</v>
      </c>
      <c r="P7" s="23">
        <f>LOTTE!$N$10</f>
        <v>151744273</v>
      </c>
      <c r="Q7" s="2" t="s">
        <v>110</v>
      </c>
      <c r="R7" s="2" t="s">
        <v>145</v>
      </c>
    </row>
    <row r="8" spans="1:18" ht="18" customHeight="1" x14ac:dyDescent="0.25">
      <c r="A8" s="20">
        <v>6</v>
      </c>
      <c r="B8" s="81" t="s">
        <v>23</v>
      </c>
      <c r="C8" s="23">
        <f>MEGA!$N$3</f>
        <v>536669673</v>
      </c>
      <c r="D8" s="23">
        <f>MEGA!$B$10</f>
        <v>748218943</v>
      </c>
      <c r="E8" s="23">
        <f>MEGA!$C$10</f>
        <v>649007642</v>
      </c>
      <c r="F8" s="23">
        <f>MEGA!$D$10</f>
        <v>260375317</v>
      </c>
      <c r="G8" s="23">
        <f>MEGA!$E$10</f>
        <v>251119243</v>
      </c>
      <c r="H8" s="23">
        <f>MEGA!$F$10</f>
        <v>300122221</v>
      </c>
      <c r="I8" s="23">
        <f>MEGA!$G$10</f>
        <v>334479717</v>
      </c>
      <c r="J8" s="23">
        <f>MEGA!$H$10</f>
        <v>404489440</v>
      </c>
      <c r="K8" s="23">
        <f>MEGA!$I$10</f>
        <v>306090212</v>
      </c>
      <c r="L8" s="23">
        <f>MEGA!$J$10</f>
        <v>373098178</v>
      </c>
      <c r="M8" s="23">
        <f>MEGA!$K$10</f>
        <v>468808495</v>
      </c>
      <c r="N8" s="23">
        <f>MEGA!$L$10</f>
        <v>308501315</v>
      </c>
      <c r="O8" s="23">
        <f>MEGA!$M$10</f>
        <v>480996492</v>
      </c>
      <c r="P8" s="23">
        <f>MEGA!$N$10</f>
        <v>480996492</v>
      </c>
      <c r="Q8" s="2" t="s">
        <v>110</v>
      </c>
      <c r="R8" s="2" t="s">
        <v>145</v>
      </c>
    </row>
    <row r="9" spans="1:18" ht="18" customHeight="1" x14ac:dyDescent="0.25">
      <c r="A9" s="20">
        <v>7</v>
      </c>
      <c r="B9" s="28" t="s">
        <v>37</v>
      </c>
      <c r="C9" s="23">
        <f>'SÀNH ĐIỆU'!$N$3</f>
        <v>35766471</v>
      </c>
      <c r="D9" s="23">
        <f>'SÀNH ĐIỆU'!$B$10</f>
        <v>47589363.200000003</v>
      </c>
      <c r="E9" s="23">
        <f>'SÀNH ĐIỆU'!$C$10</f>
        <v>47676790.760000005</v>
      </c>
      <c r="F9" s="23">
        <f>'SÀNH ĐIỆU'!$D$10</f>
        <v>44975872.760000005</v>
      </c>
      <c r="G9" s="23">
        <f>'SÀNH ĐIỆU'!$E$10</f>
        <v>18368335.760000005</v>
      </c>
      <c r="H9" s="23">
        <f>'SÀNH ĐIỆU'!$F$10</f>
        <v>25743013.760000005</v>
      </c>
      <c r="I9" s="23">
        <f>'SÀNH ĐIỆU'!$G$10</f>
        <v>22239874.760000005</v>
      </c>
      <c r="J9" s="23">
        <f>'SÀNH ĐIỆU'!$H$10</f>
        <v>28567439.760000005</v>
      </c>
      <c r="K9" s="23">
        <f>'SÀNH ĐIỆU'!$I$10</f>
        <v>38501439.760000005</v>
      </c>
      <c r="L9" s="23">
        <f>'SÀNH ĐIỆU'!$J$10</f>
        <v>38181213.760000005</v>
      </c>
      <c r="M9" s="23">
        <f>'SÀNH ĐIỆU'!$K$10</f>
        <v>33016960.760000005</v>
      </c>
      <c r="N9" s="23">
        <f>'SÀNH ĐIỆU'!$L$10</f>
        <v>32609805.760000005</v>
      </c>
      <c r="O9" s="23">
        <f>'SÀNH ĐIỆU'!$M$10</f>
        <v>28923541.760000005</v>
      </c>
      <c r="P9" s="23">
        <f>'SÀNH ĐIỆU'!$N$10</f>
        <v>28923541.760000005</v>
      </c>
      <c r="Q9" s="2" t="s">
        <v>105</v>
      </c>
      <c r="R9" s="2" t="s">
        <v>145</v>
      </c>
    </row>
    <row r="10" spans="1:18" ht="18" customHeight="1" x14ac:dyDescent="0.25">
      <c r="A10" s="20">
        <v>8</v>
      </c>
      <c r="B10" s="81" t="s">
        <v>16</v>
      </c>
      <c r="C10" s="23">
        <f>AEON!$N$3</f>
        <v>234137482</v>
      </c>
      <c r="D10" s="23">
        <f>AEON!$B$10</f>
        <v>73778719</v>
      </c>
      <c r="E10" s="23">
        <f>AEON!$C$10</f>
        <v>37905750</v>
      </c>
      <c r="F10" s="23">
        <f>AEON!$D$10</f>
        <v>47426814</v>
      </c>
      <c r="G10" s="23">
        <f>AEON!$E$10</f>
        <v>61306707</v>
      </c>
      <c r="H10" s="23">
        <f>AEON!$F$10</f>
        <v>63334354</v>
      </c>
      <c r="I10" s="23">
        <f>AEON!$G$10</f>
        <v>72847198</v>
      </c>
      <c r="J10" s="23">
        <f>AEON!$H$10</f>
        <v>58428401</v>
      </c>
      <c r="K10" s="23">
        <f>AEON!$I$10</f>
        <v>57543784</v>
      </c>
      <c r="L10" s="23">
        <f>AEON!$J$10</f>
        <v>62956511</v>
      </c>
      <c r="M10" s="23">
        <f>AEON!$K$10</f>
        <v>55781812</v>
      </c>
      <c r="N10" s="23">
        <f>AEON!$L$10</f>
        <v>52954528</v>
      </c>
      <c r="O10" s="23">
        <f>AEON!$M$10</f>
        <v>52395356</v>
      </c>
      <c r="P10" s="23">
        <f>AEON!$N$10</f>
        <v>52395356</v>
      </c>
      <c r="Q10" s="2" t="s">
        <v>105</v>
      </c>
      <c r="R10" s="2" t="s">
        <v>144</v>
      </c>
    </row>
    <row r="11" spans="1:18" ht="18" customHeight="1" x14ac:dyDescent="0.25">
      <c r="A11" s="20">
        <v>9</v>
      </c>
      <c r="B11" s="81" t="s">
        <v>19</v>
      </c>
      <c r="C11" s="23">
        <f>COOP!$N$3</f>
        <v>1392308905</v>
      </c>
      <c r="D11" s="23">
        <f>COOP!$B$10</f>
        <v>2181870813</v>
      </c>
      <c r="E11" s="23">
        <f>COOP!$C$10</f>
        <v>1342141329</v>
      </c>
      <c r="F11" s="23">
        <f>COOP!$D$10</f>
        <v>997119723</v>
      </c>
      <c r="G11" s="23">
        <f>COOP!$E$10</f>
        <v>1009413854</v>
      </c>
      <c r="H11" s="23">
        <f>COOP!$F$10</f>
        <v>1165851794</v>
      </c>
      <c r="I11" s="23">
        <f>COOP!$G$10</f>
        <v>1076682833</v>
      </c>
      <c r="J11" s="23">
        <f>COOP!$H$10</f>
        <v>1245288167</v>
      </c>
      <c r="K11" s="23">
        <f>COOP!$I$10</f>
        <v>1291449030</v>
      </c>
      <c r="L11" s="23">
        <f>COOP!$J$10</f>
        <v>1367878569</v>
      </c>
      <c r="M11" s="23">
        <f>COOP!$K$10</f>
        <v>1015307877</v>
      </c>
      <c r="N11" s="23">
        <f>COOP!$L$10</f>
        <v>1125411317</v>
      </c>
      <c r="O11" s="23">
        <f>COOP!$M$10</f>
        <v>1229092071</v>
      </c>
      <c r="P11" s="23">
        <f>COOP!$N$10</f>
        <v>1229092071</v>
      </c>
      <c r="Q11" s="2" t="s">
        <v>110</v>
      </c>
      <c r="R11" s="2" t="s">
        <v>145</v>
      </c>
    </row>
    <row r="12" spans="1:18" ht="18" customHeight="1" x14ac:dyDescent="0.25">
      <c r="A12" s="20">
        <v>10</v>
      </c>
      <c r="B12" s="70" t="s">
        <v>21</v>
      </c>
      <c r="C12" s="23">
        <f>'GS25'!$N$3</f>
        <v>152465116.48000002</v>
      </c>
      <c r="D12" s="23">
        <f>'GS25'!$B$10</f>
        <v>245547665.48000002</v>
      </c>
      <c r="E12" s="23">
        <f>'GS25'!$C$10</f>
        <v>293251193.48000002</v>
      </c>
      <c r="F12" s="23">
        <f>'GS25'!$D$10</f>
        <v>178730498.48000002</v>
      </c>
      <c r="G12" s="23">
        <f>'GS25'!$E$10</f>
        <v>150860166.48000002</v>
      </c>
      <c r="H12" s="23">
        <f>'GS25'!$F$10</f>
        <v>116250401.48000002</v>
      </c>
      <c r="I12" s="23">
        <f>'GS25'!$G$10</f>
        <v>110714341.48000002</v>
      </c>
      <c r="J12" s="23">
        <f>'GS25'!$H$10</f>
        <v>110714341.48000002</v>
      </c>
      <c r="K12" s="23">
        <f>'GS25'!$I$10</f>
        <v>110714341.48000002</v>
      </c>
      <c r="L12" s="23">
        <f>'GS25'!$J$10</f>
        <v>110714341.48000002</v>
      </c>
      <c r="M12" s="23">
        <f>'GS25'!$K$10</f>
        <v>121580296.48000002</v>
      </c>
      <c r="N12" s="23">
        <f>'GS25'!$L$10</f>
        <v>143197603.48000002</v>
      </c>
      <c r="O12" s="23">
        <f>'GS25'!$M$10</f>
        <v>53885592.480000019</v>
      </c>
      <c r="P12" s="23">
        <f>'GS25'!$N$10</f>
        <v>53885592.480000019</v>
      </c>
      <c r="Q12" s="2" t="s">
        <v>154</v>
      </c>
      <c r="R12" s="2" t="s">
        <v>144</v>
      </c>
    </row>
    <row r="13" spans="1:18" ht="18" customHeight="1" x14ac:dyDescent="0.25">
      <c r="A13" s="20">
        <v>11</v>
      </c>
      <c r="B13" s="81" t="s">
        <v>24</v>
      </c>
      <c r="C13" s="23">
        <f>'SATRA-004'!$N$3</f>
        <v>12249927</v>
      </c>
      <c r="D13" s="23">
        <f>'SATRA-004'!$B$10</f>
        <v>10155827</v>
      </c>
      <c r="E13" s="23">
        <f>'SATRA-004'!$C$10</f>
        <v>12004008</v>
      </c>
      <c r="F13" s="23">
        <f>'SATRA-004'!$D$10</f>
        <v>5699616</v>
      </c>
      <c r="G13" s="23">
        <f>'SATRA-004'!$E$10</f>
        <v>9234945</v>
      </c>
      <c r="H13" s="23">
        <f>'SATRA-004'!$F$10</f>
        <v>9906125</v>
      </c>
      <c r="I13" s="23">
        <f>'SATRA-004'!$G$10</f>
        <v>8637847</v>
      </c>
      <c r="J13" s="23">
        <f>'SATRA-004'!$H$10</f>
        <v>9446999</v>
      </c>
      <c r="K13" s="23">
        <f>'SATRA-004'!$I$10</f>
        <v>10500453</v>
      </c>
      <c r="L13" s="23">
        <f>'SATRA-004'!$J$10</f>
        <v>11775661</v>
      </c>
      <c r="M13" s="23">
        <f>'SATRA-004'!$K$10</f>
        <v>11628467</v>
      </c>
      <c r="N13" s="23">
        <f>'SATRA-004'!$L$10</f>
        <v>10978922</v>
      </c>
      <c r="O13" s="23">
        <f>'SATRA-004'!$M$10</f>
        <v>10636329</v>
      </c>
      <c r="P13" s="23">
        <f>'SATRA-004'!$N$10</f>
        <v>10636329</v>
      </c>
      <c r="Q13" s="2" t="s">
        <v>110</v>
      </c>
      <c r="R13" s="2" t="s">
        <v>144</v>
      </c>
    </row>
    <row r="14" spans="1:18" ht="18" customHeight="1" x14ac:dyDescent="0.25">
      <c r="A14" s="20">
        <v>12</v>
      </c>
      <c r="B14" s="81" t="s">
        <v>25</v>
      </c>
      <c r="C14" s="23">
        <f>'SATRA-020'!$N$3</f>
        <v>17488726</v>
      </c>
      <c r="D14" s="23">
        <f>'SATRA-020'!$B$10</f>
        <v>12584364</v>
      </c>
      <c r="E14" s="23">
        <f>'SATRA-020'!$C$10</f>
        <v>19877947</v>
      </c>
      <c r="F14" s="23">
        <f>'SATRA-020'!$D$10</f>
        <v>10719298</v>
      </c>
      <c r="G14" s="23">
        <f>'SATRA-020'!$E$10</f>
        <v>14592831</v>
      </c>
      <c r="H14" s="23">
        <f>'SATRA-020'!$F$10</f>
        <v>14033801</v>
      </c>
      <c r="I14" s="23">
        <f>'SATRA-020'!$G$10</f>
        <v>15823096</v>
      </c>
      <c r="J14" s="23">
        <f>'SATRA-020'!$H$10</f>
        <v>20730842</v>
      </c>
      <c r="K14" s="23">
        <f>'SATRA-020'!$I$10</f>
        <v>18965483</v>
      </c>
      <c r="L14" s="23">
        <f>'SATRA-020'!$J$10</f>
        <v>21440978</v>
      </c>
      <c r="M14" s="23">
        <f>'SATRA-020'!$K$10</f>
        <v>22291194</v>
      </c>
      <c r="N14" s="23">
        <f>'SATRA-020'!$L$10</f>
        <v>13658441</v>
      </c>
      <c r="O14" s="23">
        <f>'SATRA-020'!$M$10</f>
        <v>12514783</v>
      </c>
      <c r="P14" s="23">
        <f>'SATRA-020'!$N$10</f>
        <v>12514783</v>
      </c>
      <c r="Q14" s="2" t="s">
        <v>110</v>
      </c>
      <c r="R14" s="2" t="s">
        <v>144</v>
      </c>
    </row>
    <row r="15" spans="1:18" ht="18" customHeight="1" x14ac:dyDescent="0.25">
      <c r="A15" s="20">
        <v>13</v>
      </c>
      <c r="B15" s="81" t="s">
        <v>77</v>
      </c>
      <c r="C15" s="23">
        <f>'SATRA-025'!$N$3</f>
        <v>270658397</v>
      </c>
      <c r="D15" s="23">
        <f>'SATRA-025'!$B$10</f>
        <v>198730365</v>
      </c>
      <c r="E15" s="23">
        <f>'SATRA-025'!$C$10</f>
        <v>230232984</v>
      </c>
      <c r="F15" s="23">
        <f>'SATRA-025'!$D$10</f>
        <v>208581516</v>
      </c>
      <c r="G15" s="23">
        <f>'SATRA-025'!$E$10</f>
        <v>269290928</v>
      </c>
      <c r="H15" s="23">
        <f>'SATRA-025'!$F$10</f>
        <v>237919992</v>
      </c>
      <c r="I15" s="23">
        <f>'SATRA-025'!$G$10</f>
        <v>264891144</v>
      </c>
      <c r="J15" s="23">
        <f>'SATRA-025'!$H$10</f>
        <v>277816914</v>
      </c>
      <c r="K15" s="23">
        <f>'SATRA-025'!$I$10</f>
        <v>225708803</v>
      </c>
      <c r="L15" s="23">
        <f>'SATRA-025'!$J$10</f>
        <v>274971939</v>
      </c>
      <c r="M15" s="23">
        <f>'SATRA-025'!$K$10</f>
        <v>245300466</v>
      </c>
      <c r="N15" s="23">
        <f>'SATRA-025'!$L$10</f>
        <v>220084323</v>
      </c>
      <c r="O15" s="23">
        <f>'SATRA-025'!$M$10</f>
        <v>250622822</v>
      </c>
      <c r="P15" s="23">
        <f>'SATRA-025'!$N$10</f>
        <v>250622822</v>
      </c>
      <c r="Q15" s="2" t="s">
        <v>110</v>
      </c>
      <c r="R15" s="2" t="s">
        <v>144</v>
      </c>
    </row>
    <row r="16" spans="1:18" ht="18" customHeight="1" x14ac:dyDescent="0.25">
      <c r="A16" s="20">
        <v>14</v>
      </c>
      <c r="B16" s="81" t="s">
        <v>26</v>
      </c>
      <c r="C16" s="23">
        <f>'SATRA-027'!$N$3</f>
        <v>18374758</v>
      </c>
      <c r="D16" s="23">
        <f>'SATRA-027'!$B$10</f>
        <v>12159515</v>
      </c>
      <c r="E16" s="23">
        <f>'SATRA-027'!$C$10</f>
        <v>25926073</v>
      </c>
      <c r="F16" s="23">
        <f>'SATRA-027'!$D$10</f>
        <v>27878676</v>
      </c>
      <c r="G16" s="23">
        <f>'SATRA-027'!$E$10</f>
        <v>23363495</v>
      </c>
      <c r="H16" s="23">
        <f>'SATRA-027'!$F$10</f>
        <v>25248294</v>
      </c>
      <c r="I16" s="23">
        <f>'SATRA-027'!$G$10</f>
        <v>19910844</v>
      </c>
      <c r="J16" s="23">
        <f>'SATRA-027'!$H$10</f>
        <v>21493919</v>
      </c>
      <c r="K16" s="23">
        <f>'SATRA-027'!$I$10</f>
        <v>27172056</v>
      </c>
      <c r="L16" s="23">
        <f>'SATRA-027'!$J$10</f>
        <v>18998582</v>
      </c>
      <c r="M16" s="23">
        <f>'SATRA-027'!$K$10</f>
        <v>21113441</v>
      </c>
      <c r="N16" s="23">
        <f>'SATRA-027'!$L$10</f>
        <v>15534563</v>
      </c>
      <c r="O16" s="23">
        <f>'SATRA-027'!$M$10</f>
        <v>15757946</v>
      </c>
      <c r="P16" s="23">
        <f>'SATRA-027'!$N$10</f>
        <v>15757946</v>
      </c>
      <c r="Q16" s="2" t="s">
        <v>110</v>
      </c>
      <c r="R16" s="2" t="s">
        <v>144</v>
      </c>
    </row>
    <row r="17" spans="1:18" ht="18" customHeight="1" x14ac:dyDescent="0.25">
      <c r="A17" s="20">
        <v>15</v>
      </c>
      <c r="B17" s="81" t="s">
        <v>30</v>
      </c>
      <c r="C17" s="23">
        <f>NHATMINH!$N$3</f>
        <v>27158939</v>
      </c>
      <c r="D17" s="23">
        <f>NHATMINH!$B$10</f>
        <v>39976119</v>
      </c>
      <c r="E17" s="23">
        <f>NHATMINH!$C$10</f>
        <v>28154330</v>
      </c>
      <c r="F17" s="23">
        <f>NHATMINH!$D$10</f>
        <v>19517043</v>
      </c>
      <c r="G17" s="23">
        <f>NHATMINH!$E$10</f>
        <v>3724362</v>
      </c>
      <c r="H17" s="23">
        <f>NHATMINH!$F$10</f>
        <v>12398992</v>
      </c>
      <c r="I17" s="23">
        <f>NHATMINH!$G$10</f>
        <v>16017646</v>
      </c>
      <c r="J17" s="23">
        <f>NHATMINH!$H$10</f>
        <v>14675059</v>
      </c>
      <c r="K17" s="23">
        <f>NHATMINH!$I$10</f>
        <v>24191397</v>
      </c>
      <c r="L17" s="23">
        <f>NHATMINH!$J$10</f>
        <v>28948583</v>
      </c>
      <c r="M17" s="23">
        <f>NHATMINH!$K$10</f>
        <v>39917906</v>
      </c>
      <c r="N17" s="23">
        <f>NHATMINH!$L$10</f>
        <v>40968522</v>
      </c>
      <c r="O17" s="23">
        <f>NHATMINH!$M$10</f>
        <v>31964595</v>
      </c>
      <c r="P17" s="23">
        <f>NHATMINH!$N$10</f>
        <v>31964595</v>
      </c>
      <c r="Q17" s="2" t="s">
        <v>110</v>
      </c>
      <c r="R17" s="2" t="s">
        <v>144</v>
      </c>
    </row>
    <row r="18" spans="1:18" ht="18" customHeight="1" x14ac:dyDescent="0.25">
      <c r="A18" s="20">
        <v>16</v>
      </c>
      <c r="B18" s="81" t="s">
        <v>32</v>
      </c>
      <c r="C18" s="23">
        <f>'VIỆT Ý NT'!$N$3</f>
        <v>46372749</v>
      </c>
      <c r="D18" s="23">
        <f>'VIỆT Ý NT'!$B$10</f>
        <v>57378004</v>
      </c>
      <c r="E18" s="23">
        <f>'VIỆT Ý NT'!$C$10</f>
        <v>29222351</v>
      </c>
      <c r="F18" s="23">
        <f>'VIỆT Ý NT'!$D$10</f>
        <v>38315991</v>
      </c>
      <c r="G18" s="23">
        <f>'VIỆT Ý NT'!$E$10</f>
        <v>33021558</v>
      </c>
      <c r="H18" s="23">
        <f>'VIỆT Ý NT'!$F$10</f>
        <v>37893839</v>
      </c>
      <c r="I18" s="23">
        <f>'VIỆT Ý NT'!$G$10</f>
        <v>48334539</v>
      </c>
      <c r="J18" s="23">
        <f>'VIỆT Ý NT'!$H$10</f>
        <v>17216279</v>
      </c>
      <c r="K18" s="23">
        <f>'VIỆT Ý NT'!$I$10</f>
        <v>33646781</v>
      </c>
      <c r="L18" s="23">
        <f>'VIỆT Ý NT'!$J$10</f>
        <v>34431547</v>
      </c>
      <c r="M18" s="23">
        <f>'VIỆT Ý NT'!$K$10</f>
        <v>46480467</v>
      </c>
      <c r="N18" s="23">
        <f>'VIỆT Ý NT'!$L$10</f>
        <v>22782285</v>
      </c>
      <c r="O18" s="23">
        <f>'VIỆT Ý NT'!$M$10</f>
        <v>32774165</v>
      </c>
      <c r="P18" s="23">
        <f>'VIỆT Ý NT'!$N$10</f>
        <v>32774165</v>
      </c>
      <c r="Q18" s="2" t="s">
        <v>110</v>
      </c>
      <c r="R18" s="2" t="s">
        <v>144</v>
      </c>
    </row>
    <row r="19" spans="1:18" ht="18" customHeight="1" x14ac:dyDescent="0.25">
      <c r="A19" s="20">
        <v>17</v>
      </c>
      <c r="B19" s="81" t="s">
        <v>33</v>
      </c>
      <c r="C19" s="23">
        <f>LARIA!$N$3</f>
        <v>10659963.5</v>
      </c>
      <c r="D19" s="23">
        <f>LARIA!$B$10</f>
        <v>2447006.5</v>
      </c>
      <c r="E19" s="23">
        <f>LARIA!$C$10</f>
        <v>4905452.5</v>
      </c>
      <c r="F19" s="23">
        <f>LARIA!$D$10</f>
        <v>3426955.5</v>
      </c>
      <c r="G19" s="23">
        <f>LARIA!$E$10</f>
        <v>13166396.5</v>
      </c>
      <c r="H19" s="23">
        <f>LARIA!$F$10</f>
        <v>16832758.5</v>
      </c>
      <c r="I19" s="23">
        <f>LARIA!$G$10</f>
        <v>22240132.5</v>
      </c>
      <c r="J19" s="23">
        <f>LARIA!$H$10</f>
        <v>8213124.5</v>
      </c>
      <c r="K19" s="23">
        <f>LARIA!$I$10</f>
        <v>19374709.5</v>
      </c>
      <c r="L19" s="23">
        <f>LARIA!$J$10</f>
        <v>15119620.5</v>
      </c>
      <c r="M19" s="23">
        <f>LARIA!$K$10</f>
        <v>24618805.5</v>
      </c>
      <c r="N19" s="23">
        <f>LARIA!$L$10</f>
        <v>31765222.5</v>
      </c>
      <c r="O19" s="23">
        <f>LARIA!$M$10</f>
        <v>20382360.5</v>
      </c>
      <c r="P19" s="23">
        <f>LARIA!$N$10</f>
        <v>20382360.5</v>
      </c>
      <c r="Q19" s="2" t="s">
        <v>110</v>
      </c>
      <c r="R19" s="2" t="s">
        <v>144</v>
      </c>
    </row>
    <row r="20" spans="1:18" ht="18" customHeight="1" x14ac:dyDescent="0.25">
      <c r="A20" s="20">
        <v>18</v>
      </c>
      <c r="B20" s="68" t="s">
        <v>34</v>
      </c>
      <c r="C20" s="23">
        <f>NOVA!$B$10</f>
        <v>101481256</v>
      </c>
      <c r="D20" s="23">
        <f>NOVA!$B$10</f>
        <v>101481256</v>
      </c>
      <c r="E20" s="23">
        <f>NOVA!$C$10</f>
        <v>101481256</v>
      </c>
      <c r="F20" s="23">
        <f>NOVA!$D$10</f>
        <v>101481256</v>
      </c>
      <c r="G20" s="23">
        <f>NOVA!$E$10</f>
        <v>101481256</v>
      </c>
      <c r="H20" s="23">
        <f>NOVA!$F$10</f>
        <v>101481256</v>
      </c>
      <c r="I20" s="23">
        <f>NOVA!$G$10</f>
        <v>101481256</v>
      </c>
      <c r="J20" s="23">
        <f>NOVA!$H$10</f>
        <v>101481256</v>
      </c>
      <c r="K20" s="23">
        <f>NOVA!$I$10</f>
        <v>101481256</v>
      </c>
      <c r="L20" s="23">
        <f>NOVA!$J$10</f>
        <v>101481256</v>
      </c>
      <c r="M20" s="23">
        <f>NOVA!$K$10</f>
        <v>101481256</v>
      </c>
      <c r="N20" s="23">
        <f>NOVA!$L$10</f>
        <v>101481256</v>
      </c>
      <c r="O20" s="23">
        <f>NOVA!$M$10</f>
        <v>0</v>
      </c>
      <c r="P20" s="23">
        <f>NOVA!$N$10</f>
        <v>101481256</v>
      </c>
      <c r="Q20" s="80" t="s">
        <v>155</v>
      </c>
      <c r="R20" s="2" t="s">
        <v>144</v>
      </c>
    </row>
    <row r="21" spans="1:18" ht="18" customHeight="1" x14ac:dyDescent="0.25">
      <c r="A21" s="20">
        <v>19</v>
      </c>
      <c r="B21" s="81" t="s">
        <v>35</v>
      </c>
      <c r="C21" s="23">
        <f>SEVEN!$N$3</f>
        <v>25102290</v>
      </c>
      <c r="D21" s="23">
        <f>SEVEN!$B$10</f>
        <v>25177469</v>
      </c>
      <c r="E21" s="23">
        <f>SEVEN!$C$10</f>
        <v>21591264</v>
      </c>
      <c r="F21" s="23">
        <f>SEVEN!$D$10</f>
        <v>18425976</v>
      </c>
      <c r="G21" s="23">
        <f>SEVEN!$E$10</f>
        <v>18434447</v>
      </c>
      <c r="H21" s="23">
        <f>SEVEN!$F$10</f>
        <v>18225976</v>
      </c>
      <c r="I21" s="23">
        <f>SEVEN!$G$10</f>
        <v>9239890</v>
      </c>
      <c r="J21" s="23">
        <f>SEVEN!$H$10</f>
        <v>15505878</v>
      </c>
      <c r="K21" s="23">
        <f>SEVEN!$I$10</f>
        <v>20031051</v>
      </c>
      <c r="L21" s="23">
        <f>SEVEN!$J$10</f>
        <v>25087098</v>
      </c>
      <c r="M21" s="23">
        <f>SEVEN!$K$10</f>
        <v>22744063</v>
      </c>
      <c r="N21" s="23">
        <f>SEVEN!$L$10</f>
        <v>15902219</v>
      </c>
      <c r="O21" s="23">
        <f>SEVEN!$M$10</f>
        <v>21157923</v>
      </c>
      <c r="P21" s="23">
        <f>SEVEN!$N$10</f>
        <v>21157923</v>
      </c>
      <c r="Q21" s="2" t="s">
        <v>110</v>
      </c>
      <c r="R21" s="2" t="s">
        <v>144</v>
      </c>
    </row>
    <row r="22" spans="1:18" ht="18" customHeight="1" x14ac:dyDescent="0.25">
      <c r="A22" s="20">
        <v>20</v>
      </c>
      <c r="B22" s="81" t="s">
        <v>36</v>
      </c>
      <c r="C22" s="23">
        <f>SAIGONHD!$N$3</f>
        <v>33522214</v>
      </c>
      <c r="D22" s="23">
        <f>SAIGONHD!$B$10</f>
        <v>33719384</v>
      </c>
      <c r="E22" s="23">
        <f>SAIGONHD!$C$10</f>
        <v>34021330</v>
      </c>
      <c r="F22" s="23">
        <f>SAIGONHD!$D$10</f>
        <v>18278104</v>
      </c>
      <c r="G22" s="23">
        <f>SAIGONHD!$E$10</f>
        <v>21418465</v>
      </c>
      <c r="H22" s="23">
        <f>SAIGONHD!$F$10</f>
        <v>22269484</v>
      </c>
      <c r="I22" s="23">
        <f>SAIGONHD!$G$10</f>
        <v>23493485</v>
      </c>
      <c r="J22" s="23">
        <f>SAIGONHD!$H$10</f>
        <v>30981941</v>
      </c>
      <c r="K22" s="23">
        <f>SAIGONHD!$I$10</f>
        <v>28066594</v>
      </c>
      <c r="L22" s="23">
        <f>SAIGONHD!$J$10</f>
        <v>36055034</v>
      </c>
      <c r="M22" s="23">
        <f>SAIGONHD!$K$10</f>
        <v>41807867</v>
      </c>
      <c r="N22" s="23">
        <f>SAIGONHD!$L$10</f>
        <v>40807470</v>
      </c>
      <c r="O22" s="23">
        <f>SAIGONHD!$M$10</f>
        <v>45588856</v>
      </c>
      <c r="P22" s="23">
        <f>SAIGONHD!$N$10</f>
        <v>45588856</v>
      </c>
      <c r="Q22" s="2" t="s">
        <v>110</v>
      </c>
      <c r="R22" s="2" t="s">
        <v>144</v>
      </c>
    </row>
    <row r="23" spans="1:18" ht="18" customHeight="1" x14ac:dyDescent="0.25">
      <c r="A23" s="20">
        <v>21</v>
      </c>
      <c r="B23" s="69" t="s">
        <v>40</v>
      </c>
      <c r="C23" s="52">
        <f>RETAIL!$N$3</f>
        <v>29272570</v>
      </c>
      <c r="D23" s="52">
        <f>RETAIL!$B$10</f>
        <v>29272570</v>
      </c>
      <c r="E23" s="52">
        <f>RETAIL!$C$10</f>
        <v>29272570</v>
      </c>
      <c r="F23" s="52">
        <f>RETAIL!$D$10</f>
        <v>29272570</v>
      </c>
      <c r="G23" s="52">
        <f>RETAIL!$E$10</f>
        <v>29272570</v>
      </c>
      <c r="H23" s="52">
        <f>RETAIL!$F$10</f>
        <v>29272570</v>
      </c>
      <c r="I23" s="52">
        <f>RETAIL!$G$10</f>
        <v>29272570</v>
      </c>
      <c r="J23" s="52">
        <f>RETAIL!$H$10</f>
        <v>29272570</v>
      </c>
      <c r="K23" s="52">
        <f>RETAIL!$I$10</f>
        <v>29272570</v>
      </c>
      <c r="L23" s="52">
        <f>RETAIL!$J$10</f>
        <v>29272570</v>
      </c>
      <c r="M23" s="52">
        <f>RETAIL!$K$10</f>
        <v>29272570</v>
      </c>
      <c r="N23" s="52">
        <f>RETAIL!$L$10</f>
        <v>29272570</v>
      </c>
      <c r="O23" s="52">
        <f>RETAIL!$M$10</f>
        <v>0</v>
      </c>
      <c r="P23" s="52">
        <f>RETAIL!$N$10</f>
        <v>29272570</v>
      </c>
      <c r="Q23" s="80" t="s">
        <v>155</v>
      </c>
      <c r="R23" s="2" t="s">
        <v>144</v>
      </c>
    </row>
    <row r="24" spans="1:18" ht="18" customHeight="1" x14ac:dyDescent="0.25">
      <c r="A24" s="20">
        <v>22</v>
      </c>
      <c r="B24" s="68" t="s">
        <v>41</v>
      </c>
      <c r="C24" s="23">
        <f>SHINSHEN!$N$3</f>
        <v>62737266</v>
      </c>
      <c r="D24" s="23">
        <f>SHINSHEN!$B$10</f>
        <v>62737266</v>
      </c>
      <c r="E24" s="23">
        <f>SHINSHEN!$C$10</f>
        <v>62737266</v>
      </c>
      <c r="F24" s="23">
        <f>SHINSHEN!$D$10</f>
        <v>62737266</v>
      </c>
      <c r="G24" s="23">
        <f>SHINSHEN!$E$10</f>
        <v>62237266</v>
      </c>
      <c r="H24" s="23">
        <f>SHINSHEN!$F$10</f>
        <v>61737266</v>
      </c>
      <c r="I24" s="23">
        <f>SHINSHEN!$G$10</f>
        <v>61237266</v>
      </c>
      <c r="J24" s="23">
        <f>SHINSHEN!$H$10</f>
        <v>60737266</v>
      </c>
      <c r="K24" s="23">
        <f>SHINSHEN!$I$10</f>
        <v>60237266</v>
      </c>
      <c r="L24" s="23">
        <f>SHINSHEN!$J$10</f>
        <v>60237266</v>
      </c>
      <c r="M24" s="23">
        <f>SHINSHEN!$K$10</f>
        <v>59237266</v>
      </c>
      <c r="N24" s="23">
        <f>SHINSHEN!$L$10</f>
        <v>58737266</v>
      </c>
      <c r="O24" s="23">
        <f>SHINSHEN!$M$10</f>
        <v>0</v>
      </c>
      <c r="P24" s="23">
        <f>SHINSHEN!$N$10</f>
        <v>58237266</v>
      </c>
      <c r="Q24" s="80" t="s">
        <v>155</v>
      </c>
      <c r="R24" s="2" t="s">
        <v>144</v>
      </c>
    </row>
    <row r="25" spans="1:18" ht="18" customHeight="1" x14ac:dyDescent="0.25">
      <c r="A25" s="20">
        <v>23</v>
      </c>
      <c r="B25" s="28" t="s">
        <v>48</v>
      </c>
      <c r="C25" s="23">
        <f>FINEMART!$N$3</f>
        <v>1990081</v>
      </c>
      <c r="D25" s="23">
        <f>FINEMART!$B$10</f>
        <v>5333080</v>
      </c>
      <c r="E25" s="23">
        <f>FINEMART!$C$10</f>
        <v>5333080</v>
      </c>
      <c r="F25" s="23">
        <f>FINEMART!$D$10</f>
        <v>11521307</v>
      </c>
      <c r="G25" s="23">
        <f>FINEMART!$E$10</f>
        <v>15166065</v>
      </c>
      <c r="H25" s="23">
        <f>FINEMART!$F$10</f>
        <v>17125420</v>
      </c>
      <c r="I25" s="23">
        <f>FINEMART!$G$10</f>
        <v>24142215</v>
      </c>
      <c r="J25" s="23">
        <f>FINEMART!$H$10</f>
        <v>11149686</v>
      </c>
      <c r="K25" s="23">
        <f>FINEMART!$I$10</f>
        <v>2434893</v>
      </c>
      <c r="L25" s="23">
        <f>FINEMART!$J$10</f>
        <v>4927641</v>
      </c>
      <c r="M25" s="23">
        <f>FINEMART!$K$10</f>
        <v>4927641</v>
      </c>
      <c r="N25" s="23">
        <f>FINEMART!$L$10</f>
        <v>1470220</v>
      </c>
      <c r="O25" s="23">
        <f>FINEMART!$M$10</f>
        <v>1470220</v>
      </c>
      <c r="P25" s="23">
        <f>FINEMART!$N$10</f>
        <v>1470220</v>
      </c>
      <c r="Q25" s="2" t="s">
        <v>105</v>
      </c>
      <c r="R25" s="2" t="s">
        <v>144</v>
      </c>
    </row>
    <row r="26" spans="1:18" ht="18.600000000000001" customHeight="1" x14ac:dyDescent="0.25">
      <c r="A26" s="20">
        <v>24</v>
      </c>
      <c r="B26" s="28" t="s">
        <v>50</v>
      </c>
      <c r="C26" s="23">
        <f>GDVN!$N$3</f>
        <v>32924745</v>
      </c>
      <c r="D26" s="23">
        <f>GDVN!$B$10</f>
        <v>21432851</v>
      </c>
      <c r="E26" s="23">
        <f>GDVN!$C$10</f>
        <v>0</v>
      </c>
      <c r="F26" s="23">
        <f>GDVN!$D$10</f>
        <v>3163860</v>
      </c>
      <c r="G26" s="23">
        <f>GDVN!$E$10</f>
        <v>35799729</v>
      </c>
      <c r="H26" s="23">
        <f>GDVN!$F$10</f>
        <v>29199770</v>
      </c>
      <c r="I26" s="23">
        <f>GDVN!$G$10</f>
        <v>20214164</v>
      </c>
      <c r="J26" s="23">
        <f>GDVN!$H$10</f>
        <v>20775244</v>
      </c>
      <c r="K26" s="23">
        <f>GDVN!$I$10</f>
        <v>26829972</v>
      </c>
      <c r="L26" s="23">
        <f>GDVN!$J$10</f>
        <v>18516437</v>
      </c>
      <c r="M26" s="23">
        <f>GDVN!$K$10</f>
        <v>21502447</v>
      </c>
      <c r="N26" s="23">
        <f>GDVN!$L$10</f>
        <v>14506143</v>
      </c>
      <c r="O26" s="23">
        <f>GDVN!$M$10</f>
        <v>19806100</v>
      </c>
      <c r="P26" s="23">
        <f>GDVN!$N$10</f>
        <v>19806100</v>
      </c>
      <c r="Q26" s="2" t="s">
        <v>154</v>
      </c>
      <c r="R26" s="2" t="s">
        <v>144</v>
      </c>
    </row>
    <row r="27" spans="1:18" ht="18" customHeight="1" x14ac:dyDescent="0.25">
      <c r="A27" s="20">
        <v>25</v>
      </c>
      <c r="B27" s="28" t="s">
        <v>58</v>
      </c>
      <c r="C27" s="23">
        <f>'INTIMEX ĐN'!$N$3</f>
        <v>14997792</v>
      </c>
      <c r="D27" s="23">
        <f>'INTIMEX ĐN'!$B$10</f>
        <v>23710030</v>
      </c>
      <c r="E27" s="23">
        <f>'INTIMEX ĐN'!$C$10</f>
        <v>23710030</v>
      </c>
      <c r="F27" s="23">
        <f>'INTIMEX ĐN'!$D$10</f>
        <v>20107312</v>
      </c>
      <c r="G27" s="23">
        <f>'INTIMEX ĐN'!$E$10</f>
        <v>24362580</v>
      </c>
      <c r="H27" s="23">
        <f>'INTIMEX ĐN'!$F$10</f>
        <v>18967180</v>
      </c>
      <c r="I27" s="23">
        <f>'INTIMEX ĐN'!$G$10</f>
        <v>23038774</v>
      </c>
      <c r="J27" s="23">
        <f>'INTIMEX ĐN'!$H$10</f>
        <v>20006463</v>
      </c>
      <c r="K27" s="23">
        <f>'INTIMEX ĐN'!$I$10</f>
        <v>14808507</v>
      </c>
      <c r="L27" s="23">
        <f>'INTIMEX ĐN'!$J$10</f>
        <v>18208168</v>
      </c>
      <c r="M27" s="23">
        <f>'INTIMEX ĐN'!$K$10</f>
        <v>6610037</v>
      </c>
      <c r="N27" s="23">
        <f>'INTIMEX ĐN'!$L$10</f>
        <v>3369213</v>
      </c>
      <c r="O27" s="23">
        <f>'INTIMEX ĐN'!$M$10</f>
        <v>0</v>
      </c>
      <c r="P27" s="23">
        <f>'INTIMEX ĐN'!$N$10</f>
        <v>0</v>
      </c>
      <c r="Q27" s="2" t="s">
        <v>154</v>
      </c>
      <c r="R27" s="2" t="s">
        <v>144</v>
      </c>
    </row>
    <row r="28" spans="1:18" ht="18" customHeight="1" x14ac:dyDescent="0.25">
      <c r="A28" s="20">
        <v>26</v>
      </c>
      <c r="B28" s="28" t="s">
        <v>124</v>
      </c>
      <c r="C28" s="23">
        <f>'JMART QT'!$N$3</f>
        <v>29407427</v>
      </c>
      <c r="D28" s="23">
        <f>'JMART QT'!$B$10</f>
        <v>39573121</v>
      </c>
      <c r="E28" s="23">
        <f>'JMART QT'!$C$10</f>
        <v>38024666</v>
      </c>
      <c r="F28" s="23">
        <f>'JMART QT'!$D$10</f>
        <v>49894955</v>
      </c>
      <c r="G28" s="23">
        <f>'JMART QT'!$E$10</f>
        <v>55212070</v>
      </c>
      <c r="H28" s="23">
        <f>'JMART QT'!$F$10</f>
        <v>37276318</v>
      </c>
      <c r="I28" s="23">
        <f>'JMART QT'!$G$10</f>
        <v>39767155</v>
      </c>
      <c r="J28" s="23">
        <f>'JMART QT'!$H$10</f>
        <v>46687770</v>
      </c>
      <c r="K28" s="23">
        <f>'JMART QT'!$I$10</f>
        <v>30906591</v>
      </c>
      <c r="L28" s="23">
        <f>'JMART QT'!$J$10</f>
        <v>36298259</v>
      </c>
      <c r="M28" s="23">
        <f>'JMART QT'!$K$10</f>
        <v>36923911</v>
      </c>
      <c r="N28" s="23">
        <f>'JMART QT'!$L$10</f>
        <v>32805621</v>
      </c>
      <c r="O28" s="23">
        <f>'JMART QT'!$M$10</f>
        <v>36371967</v>
      </c>
      <c r="P28" s="23">
        <f>'JMART QT'!$N$10</f>
        <v>36371967</v>
      </c>
      <c r="Q28" s="2" t="s">
        <v>154</v>
      </c>
      <c r="R28" s="2" t="s">
        <v>144</v>
      </c>
    </row>
    <row r="29" spans="1:18" ht="18" customHeight="1" x14ac:dyDescent="0.25">
      <c r="A29" s="20">
        <v>27</v>
      </c>
      <c r="B29" s="28" t="s">
        <v>60</v>
      </c>
      <c r="C29" s="23">
        <f>KINGFOOD!$N$3</f>
        <v>255146343</v>
      </c>
      <c r="D29" s="23">
        <f>KINGFOOD!$B$10</f>
        <v>133456158</v>
      </c>
      <c r="E29" s="23">
        <f>KINGFOOD!$C$10</f>
        <v>143105365</v>
      </c>
      <c r="F29" s="23">
        <f>KINGFOOD!$D$10</f>
        <v>214146698</v>
      </c>
      <c r="G29" s="23">
        <f>KINGFOOD!$E$10</f>
        <v>227913445</v>
      </c>
      <c r="H29" s="23">
        <f>KINGFOOD!$F$10</f>
        <v>66400966</v>
      </c>
      <c r="I29" s="23">
        <f>KINGFOOD!$G$10</f>
        <v>175708082</v>
      </c>
      <c r="J29" s="23">
        <f>KINGFOOD!$H$10</f>
        <v>117462688</v>
      </c>
      <c r="K29" s="23">
        <f>KINGFOOD!$I$10</f>
        <v>153099495</v>
      </c>
      <c r="L29" s="23">
        <f>KINGFOOD!$J$10</f>
        <v>124581687</v>
      </c>
      <c r="M29" s="23">
        <f>KINGFOOD!$K$10</f>
        <v>147435021</v>
      </c>
      <c r="N29" s="23">
        <f>KINGFOOD!$L$10</f>
        <v>265570806</v>
      </c>
      <c r="O29" s="23">
        <f>KINGFOOD!$M$10</f>
        <v>191656190</v>
      </c>
      <c r="P29" s="23">
        <f>KINGFOOD!$N$10</f>
        <v>191656190</v>
      </c>
      <c r="Q29" s="2" t="s">
        <v>154</v>
      </c>
      <c r="R29" s="2" t="s">
        <v>144</v>
      </c>
    </row>
    <row r="30" spans="1:18" ht="18" customHeight="1" x14ac:dyDescent="0.25">
      <c r="A30" s="20">
        <v>28</v>
      </c>
      <c r="B30" s="28" t="s">
        <v>63</v>
      </c>
      <c r="C30" s="23">
        <f>HNT!$N$3</f>
        <v>332808</v>
      </c>
      <c r="D30" s="23">
        <f>HNT!$B$10</f>
        <v>557866</v>
      </c>
      <c r="E30" s="23">
        <f>HNT!$C$10</f>
        <v>0</v>
      </c>
      <c r="F30" s="23">
        <f>HNT!$D$10</f>
        <v>827750</v>
      </c>
      <c r="G30" s="23">
        <f>HNT!$E$10</f>
        <v>-1004612</v>
      </c>
      <c r="H30" s="23">
        <f>HNT!$F$10</f>
        <v>-1004612</v>
      </c>
      <c r="I30" s="23">
        <f>HNT!$G$10</f>
        <v>-407083</v>
      </c>
      <c r="J30" s="23">
        <f>HNT!$H$10</f>
        <v>-407083</v>
      </c>
      <c r="K30" s="23">
        <f>HNT!$I$10</f>
        <v>-407083</v>
      </c>
      <c r="L30" s="23">
        <f>HNT!$J$10</f>
        <v>-407083</v>
      </c>
      <c r="M30" s="23">
        <f>HNT!$K$10</f>
        <v>-407083</v>
      </c>
      <c r="N30" s="23">
        <f>HNT!$L$10</f>
        <v>0</v>
      </c>
      <c r="O30" s="23">
        <f>HNT!$M$10</f>
        <v>0</v>
      </c>
      <c r="P30" s="23">
        <f>HNT!$N$10</f>
        <v>-407083</v>
      </c>
      <c r="Q30" s="2" t="s">
        <v>105</v>
      </c>
      <c r="R30" s="2" t="s">
        <v>144</v>
      </c>
    </row>
    <row r="31" spans="1:18" ht="18" customHeight="1" x14ac:dyDescent="0.25">
      <c r="A31" s="20">
        <v>29</v>
      </c>
      <c r="B31" s="28" t="s">
        <v>66</v>
      </c>
      <c r="C31" s="23">
        <f>MEKONG!$N$3</f>
        <v>7312899</v>
      </c>
      <c r="D31" s="23">
        <f>MEKONG!$B$10</f>
        <v>8825893</v>
      </c>
      <c r="E31" s="23">
        <f>MEKONG!$C$10</f>
        <v>9725576</v>
      </c>
      <c r="F31" s="23">
        <f>MEKONG!$D$10</f>
        <v>8746034</v>
      </c>
      <c r="G31" s="23">
        <f>MEKONG!$E$10</f>
        <v>8619206</v>
      </c>
      <c r="H31" s="23">
        <f>MEKONG!$F$10</f>
        <v>8619206</v>
      </c>
      <c r="I31" s="23">
        <f>MEKONG!$G$10</f>
        <v>8619206</v>
      </c>
      <c r="J31" s="23">
        <f>MEKONG!$H$10</f>
        <v>8619206</v>
      </c>
      <c r="K31" s="23">
        <f>MEKONG!$I$10</f>
        <v>8619206</v>
      </c>
      <c r="L31" s="23">
        <f>MEKONG!$J$10</f>
        <v>8619206</v>
      </c>
      <c r="M31" s="23">
        <f>MEKONG!$K$10</f>
        <v>8619206</v>
      </c>
      <c r="N31" s="23">
        <f>MEKONG!$L$10</f>
        <v>8619206</v>
      </c>
      <c r="O31" s="23">
        <f>MEKONG!$M$10</f>
        <v>8619206</v>
      </c>
      <c r="P31" s="23">
        <f>MEKONG!$N$10</f>
        <v>8619206</v>
      </c>
      <c r="Q31" s="2" t="s">
        <v>154</v>
      </c>
      <c r="R31" s="2" t="s">
        <v>144</v>
      </c>
    </row>
    <row r="32" spans="1:18" ht="18" customHeight="1" x14ac:dyDescent="0.25">
      <c r="A32" s="20">
        <v>30</v>
      </c>
      <c r="B32" s="28" t="s">
        <v>74</v>
      </c>
      <c r="C32" s="23">
        <f>TTMFARM!$N$3</f>
        <v>4585445</v>
      </c>
      <c r="D32" s="23">
        <f>TTMFARM!$B$10</f>
        <v>7295843</v>
      </c>
      <c r="E32" s="23">
        <f>TTMFARM!$C$10</f>
        <v>5086857</v>
      </c>
      <c r="F32" s="23">
        <f>TTMFARM!$D$10</f>
        <v>8687853</v>
      </c>
      <c r="G32" s="23">
        <f>TTMFARM!$E$10</f>
        <v>5553167</v>
      </c>
      <c r="H32" s="23">
        <f>TTMFARM!$F$10</f>
        <v>5432163</v>
      </c>
      <c r="I32" s="23">
        <f>TTMFARM!$G$10</f>
        <v>6093770</v>
      </c>
      <c r="J32" s="23">
        <f>TTMFARM!$H$10</f>
        <v>2998386</v>
      </c>
      <c r="K32" s="23">
        <f>TTMFARM!$I$10</f>
        <v>6517697</v>
      </c>
      <c r="L32" s="23">
        <f>TTMFARM!$J$10</f>
        <v>11879984</v>
      </c>
      <c r="M32" s="23">
        <f>TTMFARM!$K$10</f>
        <v>7267040</v>
      </c>
      <c r="N32" s="23">
        <f>TTMFARM!$L$10</f>
        <v>5696984</v>
      </c>
      <c r="O32" s="23">
        <f>TTMFARM!$M$10</f>
        <v>5696984</v>
      </c>
      <c r="P32" s="23">
        <f>TTMFARM!$N$10</f>
        <v>5696984</v>
      </c>
      <c r="Q32" s="2" t="s">
        <v>105</v>
      </c>
      <c r="R32" s="2" t="s">
        <v>144</v>
      </c>
    </row>
    <row r="33" spans="1:18" ht="18" hidden="1" customHeight="1" x14ac:dyDescent="0.25">
      <c r="A33" s="20">
        <v>31</v>
      </c>
      <c r="B33" s="81" t="s">
        <v>135</v>
      </c>
      <c r="C33" s="23">
        <f>TELIO!$N$3</f>
        <v>0</v>
      </c>
      <c r="D33" s="23">
        <f>TELIO!$B$10</f>
        <v>0</v>
      </c>
      <c r="E33" s="23">
        <f>TELIO!$C$10</f>
        <v>0</v>
      </c>
      <c r="F33" s="23">
        <f>TELIO!$D$10</f>
        <v>0</v>
      </c>
      <c r="G33" s="23">
        <f>TELIO!$E$10</f>
        <v>0</v>
      </c>
      <c r="H33" s="23">
        <f>TELIO!$F$10</f>
        <v>0</v>
      </c>
      <c r="I33" s="23">
        <f>TELIO!$G$10</f>
        <v>0</v>
      </c>
      <c r="J33" s="23">
        <f>TELIO!$H$10</f>
        <v>0</v>
      </c>
      <c r="K33" s="23">
        <f>TELIO!$I$10</f>
        <v>0</v>
      </c>
      <c r="L33" s="23">
        <f>TELIO!$J$10</f>
        <v>0</v>
      </c>
      <c r="M33" s="23">
        <f>TELIO!$K$10</f>
        <v>0</v>
      </c>
      <c r="N33" s="23">
        <f>TELIO!$L$10</f>
        <v>0</v>
      </c>
      <c r="O33" s="23">
        <f>TELIO!$M$10</f>
        <v>0</v>
      </c>
      <c r="P33" s="23">
        <f>TELIO!$N$10</f>
        <v>0</v>
      </c>
      <c r="Q33" s="2" t="s">
        <v>155</v>
      </c>
      <c r="R33" s="2" t="s">
        <v>147</v>
      </c>
    </row>
    <row r="34" spans="1:18" ht="18" customHeight="1" x14ac:dyDescent="0.25">
      <c r="A34" s="20">
        <v>32</v>
      </c>
      <c r="B34" s="81" t="s">
        <v>31</v>
      </c>
      <c r="C34" s="23">
        <f>'VIỆT Ý'!$N$3</f>
        <v>13125355</v>
      </c>
      <c r="D34" s="23">
        <f>'VIỆT Ý'!$B$10</f>
        <v>14761409</v>
      </c>
      <c r="E34" s="23">
        <f>'VIỆT Ý'!$C$10</f>
        <v>14761409</v>
      </c>
      <c r="F34" s="23">
        <f>'VIỆT Ý'!$D$10</f>
        <v>28887665</v>
      </c>
      <c r="G34" s="23">
        <f>'VIỆT Ý'!$E$10</f>
        <v>35159363</v>
      </c>
      <c r="H34" s="23">
        <f>'VIỆT Ý'!$F$10</f>
        <v>39966892</v>
      </c>
      <c r="I34" s="23">
        <f>'VIỆT Ý'!$G$10</f>
        <v>45980904</v>
      </c>
      <c r="J34" s="23">
        <f>'VIỆT Ý'!$H$10</f>
        <v>37261696</v>
      </c>
      <c r="K34" s="23">
        <f>'VIỆT Ý'!$I$10</f>
        <v>20645427</v>
      </c>
      <c r="L34" s="23">
        <f>'VIỆT Ý'!$J$10</f>
        <v>27156462</v>
      </c>
      <c r="M34" s="23">
        <f>'VIỆT Ý'!$K$10</f>
        <v>27156462</v>
      </c>
      <c r="N34" s="23">
        <f>'VIỆT Ý'!$L$10</f>
        <v>5904713</v>
      </c>
      <c r="O34" s="23">
        <f>'VIỆT Ý'!$M$10</f>
        <v>9484635</v>
      </c>
      <c r="P34" s="23">
        <f>'VIỆT Ý'!$N$10</f>
        <v>9484635</v>
      </c>
      <c r="Q34" s="2" t="s">
        <v>105</v>
      </c>
      <c r="R34" s="2" t="s">
        <v>147</v>
      </c>
    </row>
    <row r="35" spans="1:18" ht="18" customHeight="1" x14ac:dyDescent="0.25">
      <c r="A35" s="20">
        <v>33</v>
      </c>
      <c r="B35" s="70" t="s">
        <v>101</v>
      </c>
      <c r="C35" s="23">
        <f>UNIT!$N$3</f>
        <v>20085235.399999999</v>
      </c>
      <c r="D35" s="23">
        <f>UNIT!$B$10</f>
        <v>25689473.399999999</v>
      </c>
      <c r="E35" s="23">
        <f>UNIT!$C$10</f>
        <v>26895175.399999999</v>
      </c>
      <c r="F35" s="23">
        <f>UNIT!$D$10</f>
        <v>28674806.399999999</v>
      </c>
      <c r="G35" s="23">
        <f>UNIT!$E$10</f>
        <v>32983368.399999999</v>
      </c>
      <c r="H35" s="23">
        <f>UNIT!$F$10</f>
        <v>47980132.399999999</v>
      </c>
      <c r="I35" s="23">
        <f>UNIT!$G$10</f>
        <v>27769870.399999999</v>
      </c>
      <c r="J35" s="23">
        <f>UNIT!$H$10</f>
        <v>32097352.399999999</v>
      </c>
      <c r="K35" s="23">
        <f>UNIT!$I$10</f>
        <v>38811946.399999999</v>
      </c>
      <c r="L35" s="23">
        <f>UNIT!$J$10</f>
        <v>19495422.399999999</v>
      </c>
      <c r="M35" s="23">
        <f>UNIT!$K$10</f>
        <v>30027769.399999999</v>
      </c>
      <c r="N35" s="23">
        <f>UNIT!$L$10</f>
        <v>35257283.399999999</v>
      </c>
      <c r="O35" s="23">
        <f>UNIT!$M$10</f>
        <v>7396439.3999999985</v>
      </c>
      <c r="P35" s="23">
        <f>UNIT!$N$10</f>
        <v>7396439.400000006</v>
      </c>
      <c r="Q35" s="2" t="s">
        <v>105</v>
      </c>
      <c r="R35" s="2" t="s">
        <v>147</v>
      </c>
    </row>
    <row r="36" spans="1:18" ht="18" customHeight="1" x14ac:dyDescent="0.25">
      <c r="A36" s="20">
        <v>34</v>
      </c>
      <c r="B36" s="81" t="s">
        <v>127</v>
      </c>
      <c r="C36" s="23">
        <f>OKONO!$N$3</f>
        <v>74947065</v>
      </c>
      <c r="D36" s="23">
        <f>OKONO!$B$10</f>
        <v>70661733</v>
      </c>
      <c r="E36" s="23">
        <f>OKONO!$C$10</f>
        <v>59538553</v>
      </c>
      <c r="F36" s="23">
        <f>OKONO!$D$10</f>
        <v>68854038</v>
      </c>
      <c r="G36" s="23">
        <f>OKONO!$E$10</f>
        <v>96527649</v>
      </c>
      <c r="H36" s="23">
        <f>OKONO!$F$10</f>
        <v>118459658.58319999</v>
      </c>
      <c r="I36" s="23">
        <f>OKONO!$G$10</f>
        <v>141594312.58319998</v>
      </c>
      <c r="J36" s="23">
        <f>OKONO!$H$10</f>
        <v>171289563.58319998</v>
      </c>
      <c r="K36" s="23">
        <f>OKONO!$I$10</f>
        <v>93555280.583199978</v>
      </c>
      <c r="L36" s="23">
        <f>OKONO!$J$10</f>
        <v>90903982.583199978</v>
      </c>
      <c r="M36" s="23">
        <f>OKONO!$K$10</f>
        <v>58433493.583199978</v>
      </c>
      <c r="N36" s="23">
        <f>OKONO!$L$10</f>
        <v>74095529.583199978</v>
      </c>
      <c r="O36" s="23">
        <f>OKONO!$M$10</f>
        <v>101392742.58319998</v>
      </c>
      <c r="P36" s="23">
        <f>OKONO!$N$10</f>
        <v>101392742.58319998</v>
      </c>
      <c r="Q36" s="2" t="s">
        <v>110</v>
      </c>
      <c r="R36" s="2" t="s">
        <v>147</v>
      </c>
    </row>
    <row r="37" spans="1:18" ht="18" customHeight="1" x14ac:dyDescent="0.25">
      <c r="A37" s="20">
        <v>35</v>
      </c>
      <c r="B37" s="81" t="s">
        <v>137</v>
      </c>
      <c r="C37" s="23">
        <f>KMARKET!$N$3</f>
        <v>23807424</v>
      </c>
      <c r="D37" s="23">
        <f>KMARKET!$B$10</f>
        <v>24217924</v>
      </c>
      <c r="E37" s="23">
        <f>KMARKET!$C$10</f>
        <v>27596108</v>
      </c>
      <c r="F37" s="23">
        <f>KMARKET!$D$10</f>
        <v>2644970</v>
      </c>
      <c r="G37" s="23">
        <f>KMARKET!$E$10</f>
        <v>1802986</v>
      </c>
      <c r="H37" s="23">
        <f>KMARKET!$F$10</f>
        <v>6225310</v>
      </c>
      <c r="I37" s="23">
        <f>KMARKET!$G$10</f>
        <v>13263023</v>
      </c>
      <c r="J37" s="23">
        <f>KMARKET!$H$10</f>
        <v>20830494</v>
      </c>
      <c r="K37" s="23">
        <f>KMARKET!$I$10</f>
        <v>25139206</v>
      </c>
      <c r="L37" s="23">
        <f>KMARKET!$J$10</f>
        <v>23472838</v>
      </c>
      <c r="M37" s="23">
        <f>KMARKET!$K$10</f>
        <v>18649497</v>
      </c>
      <c r="N37" s="23">
        <f>KMARKET!$L$10</f>
        <v>23698798</v>
      </c>
      <c r="O37" s="23">
        <f>KMARKET!$M$10</f>
        <v>12099212</v>
      </c>
      <c r="P37" s="23">
        <f>KMARKET!$N$10</f>
        <v>12099212</v>
      </c>
      <c r="Q37" s="2" t="s">
        <v>110</v>
      </c>
      <c r="R37" s="2" t="s">
        <v>147</v>
      </c>
    </row>
    <row r="38" spans="1:18" ht="18" customHeight="1" x14ac:dyDescent="0.25">
      <c r="A38" s="20">
        <v>36</v>
      </c>
      <c r="B38" s="28" t="s">
        <v>61</v>
      </c>
      <c r="C38" s="23">
        <f>'K&amp;K'!$N$3</f>
        <v>652566</v>
      </c>
      <c r="D38" s="23">
        <f>'K&amp;K'!$B$10</f>
        <v>652566</v>
      </c>
      <c r="E38" s="23">
        <f>'K&amp;K'!$C$10</f>
        <v>652566</v>
      </c>
      <c r="F38" s="23">
        <f>'K&amp;K'!$D$10</f>
        <v>726101</v>
      </c>
      <c r="G38" s="23">
        <f>'K&amp;K'!$E$10</f>
        <v>726101</v>
      </c>
      <c r="H38" s="23">
        <f>'K&amp;K'!$F$10</f>
        <v>1901830</v>
      </c>
      <c r="I38" s="23">
        <f>'K&amp;K'!$G$10</f>
        <v>1175729</v>
      </c>
      <c r="J38" s="23">
        <f>'K&amp;K'!$H$10</f>
        <v>1175729</v>
      </c>
      <c r="K38" s="23">
        <f>'K&amp;K'!$I$10</f>
        <v>1175729</v>
      </c>
      <c r="L38" s="23">
        <f>'K&amp;K'!$J$10</f>
        <v>1175729</v>
      </c>
      <c r="M38" s="23">
        <f>'K&amp;K'!$K$10</f>
        <v>1175729</v>
      </c>
      <c r="N38" s="23">
        <f>'K&amp;K'!$L$10</f>
        <v>1175729</v>
      </c>
      <c r="O38" s="23">
        <f>'K&amp;K'!$M$10</f>
        <v>1175729</v>
      </c>
      <c r="P38" s="23">
        <f>'K&amp;K'!$N$10</f>
        <v>1175729</v>
      </c>
      <c r="Q38" s="2" t="s">
        <v>154</v>
      </c>
      <c r="R38" s="2" t="s">
        <v>146</v>
      </c>
    </row>
    <row r="39" spans="1:18" ht="18" customHeight="1" x14ac:dyDescent="0.25">
      <c r="A39" s="20">
        <v>37</v>
      </c>
      <c r="B39" s="28" t="s">
        <v>18</v>
      </c>
      <c r="C39" s="23">
        <f>BRG!$N$3</f>
        <v>112461196</v>
      </c>
      <c r="D39" s="23">
        <f>BRG!$B$10</f>
        <v>293859032</v>
      </c>
      <c r="E39" s="23">
        <f>BRG!$C$10</f>
        <v>103259178</v>
      </c>
      <c r="F39" s="23">
        <f>BRG!$D$10</f>
        <v>90164625</v>
      </c>
      <c r="G39" s="23">
        <f>BRG!$E$10</f>
        <v>137631820</v>
      </c>
      <c r="H39" s="23">
        <f>BRG!$F$10</f>
        <v>126411091</v>
      </c>
      <c r="I39" s="23">
        <f>BRG!$G$10</f>
        <v>133824075.36000001</v>
      </c>
      <c r="J39" s="23">
        <f>BRG!$H$10</f>
        <v>134578895.36000001</v>
      </c>
      <c r="K39" s="23">
        <f>BRG!$I$10</f>
        <v>103753967</v>
      </c>
      <c r="L39" s="23">
        <f>BRG!$J$10</f>
        <v>225375600</v>
      </c>
      <c r="M39" s="23">
        <f>BRG!$K$10</f>
        <v>96706095</v>
      </c>
      <c r="N39" s="23">
        <f>BRG!$L$10</f>
        <v>104427857</v>
      </c>
      <c r="O39" s="23">
        <f>BRG!$M$10</f>
        <v>106468849</v>
      </c>
      <c r="P39" s="23">
        <f>BRG!$N$10</f>
        <v>106468849</v>
      </c>
      <c r="Q39" s="2" t="s">
        <v>105</v>
      </c>
      <c r="R39" s="2" t="s">
        <v>146</v>
      </c>
    </row>
    <row r="40" spans="1:18" ht="18" hidden="1" customHeight="1" x14ac:dyDescent="0.25">
      <c r="A40" s="20">
        <v>38</v>
      </c>
      <c r="B40" s="68" t="s">
        <v>27</v>
      </c>
      <c r="C40" s="23">
        <f>DTH!$N$3</f>
        <v>48019402.025999993</v>
      </c>
      <c r="D40" s="23">
        <f>DTH!$B$10</f>
        <v>48019402.025999993</v>
      </c>
      <c r="E40" s="23">
        <f>DTH!$C$10</f>
        <v>48019402.025999993</v>
      </c>
      <c r="F40" s="23">
        <f>DTH!$D$10</f>
        <v>48019402.025999993</v>
      </c>
      <c r="G40" s="23">
        <f>DTH!$E$10</f>
        <v>38019402.025999993</v>
      </c>
      <c r="H40" s="23">
        <f>DTH!$F$10</f>
        <v>33019402.025999993</v>
      </c>
      <c r="I40" s="23">
        <f>DTH!$G$10</f>
        <v>30019402.025999993</v>
      </c>
      <c r="J40" s="23">
        <f>DTH!$H$10</f>
        <v>30019402.025999993</v>
      </c>
      <c r="K40" s="23">
        <f>DTH!$I$10</f>
        <v>30019402.025999993</v>
      </c>
      <c r="L40" s="23">
        <f>DTH!$J$10</f>
        <v>30019402.025999993</v>
      </c>
      <c r="M40" s="23">
        <f>DTH!$K$10</f>
        <v>30019402.025999993</v>
      </c>
      <c r="N40" s="23">
        <f>DTH!$L$10</f>
        <v>30019402.025999993</v>
      </c>
      <c r="O40" s="23">
        <f>DTH!$M$10</f>
        <v>0</v>
      </c>
      <c r="P40" s="23">
        <f>DTH!$N$10</f>
        <v>30019402.025999993</v>
      </c>
      <c r="Q40" s="80" t="s">
        <v>155</v>
      </c>
      <c r="R40" s="2" t="s">
        <v>146</v>
      </c>
    </row>
    <row r="41" spans="1:18" ht="16.350000000000001" customHeight="1" x14ac:dyDescent="0.25">
      <c r="A41" s="20">
        <v>39</v>
      </c>
      <c r="B41" s="81" t="s">
        <v>28</v>
      </c>
      <c r="C41" s="23">
        <f>TMART!$N$3</f>
        <v>26941252</v>
      </c>
      <c r="D41" s="23">
        <f>TMART!$B$10</f>
        <v>102220813</v>
      </c>
      <c r="E41" s="23">
        <f>TMART!$C$10</f>
        <v>-25627842.739999995</v>
      </c>
      <c r="F41" s="23">
        <f>TMART!$D$10</f>
        <v>49092396.260000005</v>
      </c>
      <c r="G41" s="23">
        <f>TMART!$E$10</f>
        <v>104030044.25999999</v>
      </c>
      <c r="H41" s="23">
        <f>TMART!$F$10</f>
        <v>172720480.25999999</v>
      </c>
      <c r="I41" s="23">
        <f>TMART!$G$10</f>
        <v>163820672.25999999</v>
      </c>
      <c r="J41" s="23">
        <f>TMART!$H$10</f>
        <v>122169736.25999999</v>
      </c>
      <c r="K41" s="23">
        <f>TMART!$I$10</f>
        <v>176089478.25999999</v>
      </c>
      <c r="L41" s="23">
        <f>TMART!$J$10</f>
        <v>151354313.25999999</v>
      </c>
      <c r="M41" s="23">
        <f>TMART!$K$10</f>
        <v>154893161.25999999</v>
      </c>
      <c r="N41" s="23">
        <f>TMART!$L$10</f>
        <v>176101969.25999999</v>
      </c>
      <c r="O41" s="23">
        <f>TMART!$M$10</f>
        <v>200764823.25999999</v>
      </c>
      <c r="P41" s="23">
        <f>TMART!$N$10</f>
        <v>200764823.25999999</v>
      </c>
      <c r="Q41" s="2" t="s">
        <v>110</v>
      </c>
      <c r="R41" s="2" t="s">
        <v>146</v>
      </c>
    </row>
    <row r="42" spans="1:18" ht="18" customHeight="1" x14ac:dyDescent="0.25">
      <c r="A42" s="20">
        <v>40</v>
      </c>
      <c r="B42" s="81" t="s">
        <v>29</v>
      </c>
      <c r="C42" s="23">
        <f>SIBA!$N$3</f>
        <v>10342140</v>
      </c>
      <c r="D42" s="23">
        <f>SIBA!$B$10</f>
        <v>17887476</v>
      </c>
      <c r="E42" s="23">
        <f>SIBA!$C$10</f>
        <v>9320062</v>
      </c>
      <c r="F42" s="23">
        <f>SIBA!$D$10</f>
        <v>4754001</v>
      </c>
      <c r="G42" s="23">
        <f>SIBA!$E$10</f>
        <v>2361378</v>
      </c>
      <c r="H42" s="23">
        <f>SIBA!$F$10</f>
        <v>5626065</v>
      </c>
      <c r="I42" s="23">
        <f>SIBA!$G$10</f>
        <v>1713197</v>
      </c>
      <c r="J42" s="23">
        <f>SIBA!$H$10</f>
        <v>4354717</v>
      </c>
      <c r="K42" s="23">
        <f>SIBA!$I$10</f>
        <v>4618255</v>
      </c>
      <c r="L42" s="23">
        <f>SIBA!$J$10</f>
        <v>8583827</v>
      </c>
      <c r="M42" s="23">
        <f>SIBA!$K$10</f>
        <v>8144970</v>
      </c>
      <c r="N42" s="23">
        <f>SIBA!$L$10</f>
        <v>2701517</v>
      </c>
      <c r="O42" s="23">
        <f>SIBA!$M$10</f>
        <v>3315573</v>
      </c>
      <c r="P42" s="23">
        <f>SIBA!$N$10</f>
        <v>3315573</v>
      </c>
      <c r="Q42" s="2" t="s">
        <v>110</v>
      </c>
      <c r="R42" s="2" t="s">
        <v>146</v>
      </c>
    </row>
    <row r="43" spans="1:18" ht="18" customHeight="1" x14ac:dyDescent="0.25">
      <c r="A43" s="20">
        <v>41</v>
      </c>
      <c r="B43" s="28" t="s">
        <v>38</v>
      </c>
      <c r="C43" s="23">
        <f>CLEVERFOOD!$N$3</f>
        <v>7262205</v>
      </c>
      <c r="D43" s="23">
        <f>CLEVERFOOD!$B$10</f>
        <v>12950384</v>
      </c>
      <c r="E43" s="23">
        <f>CLEVERFOOD!$C$10</f>
        <v>15323098</v>
      </c>
      <c r="F43" s="23">
        <f>CLEVERFOOD!$D$10</f>
        <v>12599017</v>
      </c>
      <c r="G43" s="23">
        <f>CLEVERFOOD!$E$10</f>
        <v>14018304</v>
      </c>
      <c r="H43" s="23">
        <f>CLEVERFOOD!$F$10</f>
        <v>2863808</v>
      </c>
      <c r="I43" s="23">
        <f>CLEVERFOOD!$G$10</f>
        <v>-1082184.1900000004</v>
      </c>
      <c r="J43" s="23">
        <f>CLEVERFOOD!$H$10</f>
        <v>1360771.8099999996</v>
      </c>
      <c r="K43" s="23">
        <f>CLEVERFOOD!$I$10</f>
        <v>2948605.8099999996</v>
      </c>
      <c r="L43" s="23">
        <f>CLEVERFOOD!$J$10</f>
        <v>5935055.8099999996</v>
      </c>
      <c r="M43" s="23">
        <f>CLEVERFOOD!$K$10</f>
        <v>9487499.5500000007</v>
      </c>
      <c r="N43" s="23">
        <f>CLEVERFOOD!$L$10</f>
        <v>6972439.3600000013</v>
      </c>
      <c r="O43" s="23">
        <f>CLEVERFOOD!$M$10</f>
        <v>6735389.6400000015</v>
      </c>
      <c r="P43" s="23">
        <f>CLEVERFOOD!$N$10</f>
        <v>6735389.6400000006</v>
      </c>
      <c r="Q43" s="2" t="s">
        <v>105</v>
      </c>
      <c r="R43" s="2" t="s">
        <v>146</v>
      </c>
    </row>
    <row r="44" spans="1:18" ht="18" hidden="1" customHeight="1" x14ac:dyDescent="0.25">
      <c r="A44" s="20">
        <v>42</v>
      </c>
      <c r="B44" s="67" t="s">
        <v>39</v>
      </c>
      <c r="C44" s="23">
        <f>UNO!$N$3</f>
        <v>20459105</v>
      </c>
      <c r="D44" s="23">
        <f>UNO!$B$10</f>
        <v>20459105</v>
      </c>
      <c r="E44" s="23">
        <f>UNO!$C$10</f>
        <v>20459105</v>
      </c>
      <c r="F44" s="23">
        <f>UNO!$D$10</f>
        <v>20459105</v>
      </c>
      <c r="G44" s="23">
        <f>UNO!$E$10</f>
        <v>20459105</v>
      </c>
      <c r="H44" s="23">
        <f>UNO!$F$10</f>
        <v>20459105</v>
      </c>
      <c r="I44" s="23">
        <f>UNO!$G$10</f>
        <v>20459105</v>
      </c>
      <c r="J44" s="23">
        <f>UNO!$H$10</f>
        <v>20459105</v>
      </c>
      <c r="K44" s="23">
        <f>UNO!$I$10</f>
        <v>20459105</v>
      </c>
      <c r="L44" s="23">
        <f>UNO!$J$10</f>
        <v>20459105</v>
      </c>
      <c r="M44" s="23">
        <f>UNO!$K$10</f>
        <v>20459105</v>
      </c>
      <c r="N44" s="23">
        <f>UNO!$L$10</f>
        <v>0</v>
      </c>
      <c r="O44" s="23">
        <f>UNO!$M$10</f>
        <v>0</v>
      </c>
      <c r="P44" s="23">
        <f>UNO!$N$10</f>
        <v>20459105</v>
      </c>
      <c r="Q44" s="80" t="s">
        <v>155</v>
      </c>
      <c r="R44" s="2" t="s">
        <v>146</v>
      </c>
    </row>
    <row r="45" spans="1:18" ht="18" customHeight="1" x14ac:dyDescent="0.25">
      <c r="A45" s="20">
        <v>43</v>
      </c>
      <c r="B45" s="81" t="s">
        <v>100</v>
      </c>
      <c r="C45" s="23">
        <f>SUNSHINE!$N$3</f>
        <v>15890024</v>
      </c>
      <c r="D45" s="23">
        <f>SUNSHINE!$B$10</f>
        <v>26103453</v>
      </c>
      <c r="E45" s="23">
        <f>SUNSHINE!$C$10</f>
        <v>3798188</v>
      </c>
      <c r="F45" s="23">
        <f>SUNSHINE!$D$10</f>
        <v>9314849</v>
      </c>
      <c r="G45" s="23">
        <f>SUNSHINE!$E$10</f>
        <v>17986941</v>
      </c>
      <c r="H45" s="23">
        <f>SUNSHINE!$F$10</f>
        <v>9347467</v>
      </c>
      <c r="I45" s="23">
        <f>SUNSHINE!$G$10</f>
        <v>18319753</v>
      </c>
      <c r="J45" s="23">
        <f>SUNSHINE!$H$10</f>
        <v>5056270.068599999</v>
      </c>
      <c r="K45" s="23">
        <f>SUNSHINE!$I$10</f>
        <v>8049008.068599999</v>
      </c>
      <c r="L45" s="23">
        <f>SUNSHINE!$J$10</f>
        <v>8798890.068599999</v>
      </c>
      <c r="M45" s="23">
        <f>SUNSHINE!$K$10</f>
        <v>3779413.068599999</v>
      </c>
      <c r="N45" s="23">
        <f>SUNSHINE!$L$10</f>
        <v>9407025.068599999</v>
      </c>
      <c r="O45" s="23">
        <f>SUNSHINE!$M$10</f>
        <v>4516578.068599999</v>
      </c>
      <c r="P45" s="23">
        <f>SUNSHINE!$N$10</f>
        <v>4516578.068599999</v>
      </c>
      <c r="Q45" s="2" t="s">
        <v>110</v>
      </c>
      <c r="R45" s="2" t="s">
        <v>146</v>
      </c>
    </row>
    <row r="46" spans="1:18" ht="18" hidden="1" customHeight="1" x14ac:dyDescent="0.25">
      <c r="A46" s="20">
        <v>44</v>
      </c>
      <c r="B46" s="68" t="s">
        <v>42</v>
      </c>
      <c r="C46" s="23">
        <f>'V+ HÒA BÌNH'!$N$3</f>
        <v>8367580</v>
      </c>
      <c r="D46" s="23">
        <f>'V+ HÒA BÌNH'!$B$10</f>
        <v>8367580</v>
      </c>
      <c r="E46" s="23">
        <f>'V+ HÒA BÌNH'!$C$10</f>
        <v>8367580</v>
      </c>
      <c r="F46" s="23">
        <f>'V+ HÒA BÌNH'!$D$10</f>
        <v>8367580</v>
      </c>
      <c r="G46" s="23">
        <f>'V+ HÒA BÌNH'!$E$10</f>
        <v>8367580</v>
      </c>
      <c r="H46" s="23">
        <f>'V+ HÒA BÌNH'!$F$10</f>
        <v>8367580</v>
      </c>
      <c r="I46" s="23">
        <f>'V+ HÒA BÌNH'!$G$10</f>
        <v>8367580</v>
      </c>
      <c r="J46" s="23">
        <f>'V+ HÒA BÌNH'!$H$10</f>
        <v>8367580</v>
      </c>
      <c r="K46" s="23">
        <f>'V+ HÒA BÌNH'!$I$10</f>
        <v>8367580</v>
      </c>
      <c r="L46" s="23">
        <f>'V+ HÒA BÌNH'!$J$10</f>
        <v>8367580</v>
      </c>
      <c r="M46" s="23">
        <f>'V+ HÒA BÌNH'!$K$10</f>
        <v>8367580</v>
      </c>
      <c r="N46" s="23">
        <f>'V+ HÒA BÌNH'!$L$10</f>
        <v>0</v>
      </c>
      <c r="O46" s="23">
        <f>'V+ HÒA BÌNH'!$M$10</f>
        <v>0</v>
      </c>
      <c r="P46" s="23">
        <f>'V+ HÒA BÌNH'!$N$10</f>
        <v>8367580</v>
      </c>
      <c r="Q46" s="80" t="s">
        <v>155</v>
      </c>
      <c r="R46" s="2" t="s">
        <v>146</v>
      </c>
    </row>
    <row r="47" spans="1:18" ht="18" customHeight="1" x14ac:dyDescent="0.25">
      <c r="A47" s="20">
        <v>45</v>
      </c>
      <c r="B47" s="70" t="s">
        <v>168</v>
      </c>
      <c r="C47" s="23">
        <f>EASYMART!$N$3</f>
        <v>17015211</v>
      </c>
      <c r="D47" s="23">
        <f>EASYMART!$B$10</f>
        <v>24328326</v>
      </c>
      <c r="E47" s="23">
        <f>EASYMART!$C$10</f>
        <v>24266740</v>
      </c>
      <c r="F47" s="23">
        <f>EASYMART!$D$10</f>
        <v>32672867</v>
      </c>
      <c r="G47" s="23">
        <f>EASYMART!$E$10</f>
        <v>40581025</v>
      </c>
      <c r="H47" s="23">
        <f>EASYMART!$F$10</f>
        <v>18494265</v>
      </c>
      <c r="I47" s="23">
        <f>EASYMART!$G$10</f>
        <v>27902291</v>
      </c>
      <c r="J47" s="23">
        <f>EASYMART!$H$10</f>
        <v>31274967</v>
      </c>
      <c r="K47" s="23">
        <f>EASYMART!$I$10</f>
        <v>16129678.799999997</v>
      </c>
      <c r="L47" s="23">
        <f>EASYMART!$J$10</f>
        <v>13110936.799999997</v>
      </c>
      <c r="M47" s="23">
        <f>EASYMART!$K$10</f>
        <v>30182415.799999997</v>
      </c>
      <c r="N47" s="23">
        <f>EASYMART!$L$10</f>
        <v>12676768.759999998</v>
      </c>
      <c r="O47" s="23">
        <f>EASYMART!$M$10</f>
        <v>2158548.8799999971</v>
      </c>
      <c r="P47" s="23">
        <f>EASYMART!$N$10</f>
        <v>2158548.8799999952</v>
      </c>
      <c r="Q47" s="2" t="s">
        <v>105</v>
      </c>
      <c r="R47" s="2" t="s">
        <v>146</v>
      </c>
    </row>
    <row r="48" spans="1:18" ht="18" customHeight="1" x14ac:dyDescent="0.25">
      <c r="A48" s="20">
        <v>47</v>
      </c>
      <c r="B48" s="68" t="s">
        <v>54</v>
      </c>
      <c r="C48" s="23">
        <f>HAPPYMART!$N$3</f>
        <v>21981728</v>
      </c>
      <c r="D48" s="23">
        <f>HAPPYMART!$B$10</f>
        <v>21981728</v>
      </c>
      <c r="E48" s="23">
        <f>HAPPYMART!$C$10</f>
        <v>21981728</v>
      </c>
      <c r="F48" s="23">
        <f>HAPPYMART!$D$10</f>
        <v>21981728</v>
      </c>
      <c r="G48" s="23">
        <f>HAPPYMART!$E$10</f>
        <v>21981728</v>
      </c>
      <c r="H48" s="23">
        <f>HAPPYMART!$F$10</f>
        <v>21981728</v>
      </c>
      <c r="I48" s="23">
        <f>HAPPYMART!$G$10</f>
        <v>21981728</v>
      </c>
      <c r="J48" s="23">
        <f>HAPPYMART!$H$10</f>
        <v>21981728</v>
      </c>
      <c r="K48" s="23">
        <f>HAPPYMART!$I$10</f>
        <v>21981728</v>
      </c>
      <c r="L48" s="23">
        <f>HAPPYMART!$J$10</f>
        <v>21981728</v>
      </c>
      <c r="M48" s="23">
        <f>HAPPYMART!$K$10</f>
        <v>21981728</v>
      </c>
      <c r="N48" s="23">
        <f>HAPPYMART!$L$10</f>
        <v>21981728</v>
      </c>
      <c r="O48" s="23">
        <f>HAPPYMART!$M$10</f>
        <v>21981728</v>
      </c>
      <c r="P48" s="23">
        <f>HAPPYMART!$N$10</f>
        <v>21981728</v>
      </c>
      <c r="Q48" s="80" t="s">
        <v>155</v>
      </c>
      <c r="R48" s="2" t="s">
        <v>146</v>
      </c>
    </row>
    <row r="49" spans="1:18" ht="18" customHeight="1" x14ac:dyDescent="0.25">
      <c r="A49" s="20">
        <v>48</v>
      </c>
      <c r="B49" s="28" t="s">
        <v>56</v>
      </c>
      <c r="C49" s="23">
        <f>TOMO!$N$3</f>
        <v>9460897</v>
      </c>
      <c r="D49" s="23">
        <f>TOMO!B10</f>
        <v>-5798601</v>
      </c>
      <c r="E49" s="23">
        <f>TOMO!$C$10</f>
        <v>-2809163.16</v>
      </c>
      <c r="F49" s="23">
        <f>TOMO!$D$10</f>
        <v>-1189808.1600000001</v>
      </c>
      <c r="G49" s="23">
        <f>TOMO!$E$10</f>
        <v>159841.83999999985</v>
      </c>
      <c r="H49" s="23">
        <f>TOMO!$F$10</f>
        <v>827291.83999999985</v>
      </c>
      <c r="I49" s="23">
        <f>TOMO!$G$10</f>
        <v>2207460.84</v>
      </c>
      <c r="J49" s="23">
        <f>TOMO!$H$10</f>
        <v>1880783.8399999999</v>
      </c>
      <c r="K49" s="23">
        <f>TOMO!$I$10</f>
        <v>3043014.84</v>
      </c>
      <c r="L49" s="23">
        <f>TOMO!$J$10</f>
        <v>2870385.84</v>
      </c>
      <c r="M49" s="23">
        <f>TOMO!$K$10</f>
        <v>-172629.16000000015</v>
      </c>
      <c r="N49" s="23">
        <f>TOMO!$L$10</f>
        <v>680656.83999999985</v>
      </c>
      <c r="O49" s="23">
        <f>TOMO!$M$10</f>
        <v>680656.83999999985</v>
      </c>
      <c r="P49" s="23">
        <f>TOMO!$N$10</f>
        <v>680656.83999999985</v>
      </c>
      <c r="Q49" s="2" t="s">
        <v>154</v>
      </c>
      <c r="R49" s="2" t="s">
        <v>146</v>
      </c>
    </row>
    <row r="50" spans="1:18" ht="18" customHeight="1" x14ac:dyDescent="0.25">
      <c r="A50" s="20">
        <v>49</v>
      </c>
      <c r="B50" s="28" t="s">
        <v>64</v>
      </c>
      <c r="C50" s="23">
        <f>LOCAL!$N$3</f>
        <v>5342965</v>
      </c>
      <c r="D50" s="23">
        <f>LOCAL!$B$10</f>
        <v>8705288</v>
      </c>
      <c r="E50" s="23">
        <f>LOCAL!$C$10</f>
        <v>16966969</v>
      </c>
      <c r="F50" s="23">
        <f>LOCAL!$D$10</f>
        <v>13863808</v>
      </c>
      <c r="G50" s="23">
        <f>LOCAL!$E$10</f>
        <v>15791558</v>
      </c>
      <c r="H50" s="23">
        <f>LOCAL!$F$10</f>
        <v>2311964</v>
      </c>
      <c r="I50" s="23">
        <f>LOCAL!$G$10</f>
        <v>2311964</v>
      </c>
      <c r="J50" s="23">
        <f>LOCAL!$H$10</f>
        <v>3488149</v>
      </c>
      <c r="K50" s="23">
        <f>LOCAL!$I$10</f>
        <v>6249849</v>
      </c>
      <c r="L50" s="23">
        <f>LOCAL!$J$10</f>
        <v>5848272</v>
      </c>
      <c r="M50" s="23">
        <f>LOCAL!$K$10</f>
        <v>5557523</v>
      </c>
      <c r="N50" s="23">
        <f>LOCAL!$L$10</f>
        <v>8004209</v>
      </c>
      <c r="O50" s="23">
        <f>LOCAL!$M$10</f>
        <v>8004209</v>
      </c>
      <c r="P50" s="23">
        <f>LOCAL!$N$10</f>
        <v>8004209</v>
      </c>
      <c r="Q50" s="2" t="s">
        <v>154</v>
      </c>
      <c r="R50" s="2" t="s">
        <v>146</v>
      </c>
    </row>
    <row r="51" spans="1:18" ht="18" customHeight="1" x14ac:dyDescent="0.25">
      <c r="A51" s="20">
        <v>50</v>
      </c>
      <c r="B51" s="81" t="s">
        <v>67</v>
      </c>
      <c r="C51" s="23">
        <f>'MINH CẦU'!$N$3</f>
        <v>36015766</v>
      </c>
      <c r="D51" s="23">
        <f>'MINH CẦU'!$B$10</f>
        <v>83159492</v>
      </c>
      <c r="E51" s="23">
        <f>'MINH CẦU'!$C$10</f>
        <v>80324790</v>
      </c>
      <c r="F51" s="23">
        <f>'MINH CẦU'!$D$10</f>
        <v>37278941</v>
      </c>
      <c r="G51" s="23">
        <f>'MINH CẦU'!$E$10</f>
        <v>64837627</v>
      </c>
      <c r="H51" s="23">
        <f>'MINH CẦU'!$F$10</f>
        <v>19649431</v>
      </c>
      <c r="I51" s="23">
        <f>'MINH CẦU'!$G$10</f>
        <v>58651744</v>
      </c>
      <c r="J51" s="23">
        <f>'MINH CẦU'!$H$10</f>
        <v>91675705</v>
      </c>
      <c r="K51" s="23">
        <f>'MINH CẦU'!$I$10</f>
        <v>70195615</v>
      </c>
      <c r="L51" s="23">
        <f>'MINH CẦU'!$J$10</f>
        <v>124294862</v>
      </c>
      <c r="M51" s="23">
        <f>'MINH CẦU'!$K$10</f>
        <v>60672687</v>
      </c>
      <c r="N51" s="23">
        <f>'MINH CẦU'!$L$10</f>
        <v>113036473</v>
      </c>
      <c r="O51" s="23">
        <f>'MINH CẦU'!$M$10</f>
        <v>57834425</v>
      </c>
      <c r="P51" s="23">
        <f>'MINH CẦU'!$N$10</f>
        <v>57834425</v>
      </c>
      <c r="Q51" s="2" t="s">
        <v>110</v>
      </c>
      <c r="R51" s="2" t="s">
        <v>146</v>
      </c>
    </row>
    <row r="52" spans="1:18" ht="18" customHeight="1" x14ac:dyDescent="0.25">
      <c r="A52" s="20">
        <v>51</v>
      </c>
      <c r="B52" s="81" t="s">
        <v>69</v>
      </c>
      <c r="C52" s="23">
        <f>PTMART!$N$3</f>
        <v>3507874</v>
      </c>
      <c r="D52" s="23">
        <f>PTMART!$B$10</f>
        <v>4201482</v>
      </c>
      <c r="E52" s="23">
        <f>PTMART!$C$10</f>
        <v>485352</v>
      </c>
      <c r="F52" s="23">
        <f>PTMART!$D$10</f>
        <v>773746</v>
      </c>
      <c r="G52" s="23">
        <f>PTMART!$E$10</f>
        <v>2069748</v>
      </c>
      <c r="H52" s="23">
        <f>PTMART!$F$10</f>
        <v>2165223</v>
      </c>
      <c r="I52" s="23">
        <f>PTMART!$G$10</f>
        <v>1935199</v>
      </c>
      <c r="J52" s="23">
        <f>PTMART!$H$10</f>
        <v>1314820</v>
      </c>
      <c r="K52" s="23">
        <f>PTMART!$I$10</f>
        <v>303871</v>
      </c>
      <c r="L52" s="23">
        <f>PTMART!$J$10</f>
        <v>1513678</v>
      </c>
      <c r="M52" s="23">
        <f>PTMART!$K$10</f>
        <v>2172896</v>
      </c>
      <c r="N52" s="23">
        <f>PTMART!$L$10</f>
        <v>1331576</v>
      </c>
      <c r="O52" s="23">
        <f>PTMART!$M$10</f>
        <v>2093395</v>
      </c>
      <c r="P52" s="23">
        <f>PTMART!$N$10</f>
        <v>2093395</v>
      </c>
      <c r="Q52" s="2" t="s">
        <v>110</v>
      </c>
      <c r="R52" s="2" t="s">
        <v>146</v>
      </c>
    </row>
    <row r="53" spans="1:18" ht="18" customHeight="1" x14ac:dyDescent="0.25">
      <c r="A53" s="20">
        <v>52</v>
      </c>
      <c r="B53" s="81" t="s">
        <v>73</v>
      </c>
      <c r="C53" s="23">
        <f>'ANH ĐĂNG TMART'!$N$3</f>
        <v>23107643</v>
      </c>
      <c r="D53" s="23">
        <f>'ANH ĐĂNG TMART'!$B$10</f>
        <v>34682834</v>
      </c>
      <c r="E53" s="23">
        <f>'ANH ĐĂNG TMART'!$C$10</f>
        <v>43385749</v>
      </c>
      <c r="F53" s="23">
        <f>'ANH ĐĂNG TMART'!$D$10</f>
        <v>25653943</v>
      </c>
      <c r="G53" s="23">
        <f>'ANH ĐĂNG TMART'!$E$10</f>
        <v>32618020</v>
      </c>
      <c r="H53" s="23">
        <f>'ANH ĐĂNG TMART'!$F$10</f>
        <v>46607019</v>
      </c>
      <c r="I53" s="23">
        <f>'ANH ĐĂNG TMART'!$G$10</f>
        <v>54147487</v>
      </c>
      <c r="J53" s="23">
        <f>'ANH ĐĂNG TMART'!$H$10</f>
        <v>57945232</v>
      </c>
      <c r="K53" s="23">
        <f>'ANH ĐĂNG TMART'!$I$10</f>
        <v>31308113</v>
      </c>
      <c r="L53" s="23">
        <f>'ANH ĐĂNG TMART'!$J$10</f>
        <v>15552920</v>
      </c>
      <c r="M53" s="23">
        <f>'ANH ĐĂNG TMART'!$K$10</f>
        <v>22505484</v>
      </c>
      <c r="N53" s="23">
        <f>'ANH ĐĂNG TMART'!$L$10</f>
        <v>26824492</v>
      </c>
      <c r="O53" s="23">
        <f>'ANH ĐĂNG TMART'!$M$10</f>
        <v>25341379</v>
      </c>
      <c r="P53" s="23">
        <f>'ANH ĐĂNG TMART'!$N$10</f>
        <v>25341379</v>
      </c>
      <c r="Q53" s="2" t="s">
        <v>110</v>
      </c>
      <c r="R53" s="2" t="s">
        <v>146</v>
      </c>
    </row>
    <row r="54" spans="1:18" ht="18" customHeight="1" x14ac:dyDescent="0.25">
      <c r="A54" s="20">
        <v>53</v>
      </c>
      <c r="B54" s="82" t="s">
        <v>129</v>
      </c>
      <c r="C54" s="23">
        <f>VITALGO!$N$3</f>
        <v>13481274</v>
      </c>
      <c r="D54" s="23">
        <f>VITALGO!$B$10</f>
        <v>11398516</v>
      </c>
      <c r="E54" s="23">
        <f>VITALGO!$C$10</f>
        <v>4082450</v>
      </c>
      <c r="F54" s="23">
        <f>VITALGO!$D$10</f>
        <v>10698387</v>
      </c>
      <c r="G54" s="23">
        <f>VITALGO!$E$10</f>
        <v>7331673</v>
      </c>
      <c r="H54" s="23">
        <f>VITALGO!$F$10</f>
        <v>21658828</v>
      </c>
      <c r="I54" s="23">
        <f>VITALGO!$G$10</f>
        <v>13023643</v>
      </c>
      <c r="J54" s="23">
        <f>VITALGO!$H$10</f>
        <v>15957711</v>
      </c>
      <c r="K54" s="23">
        <f>VITALGO!$I$10</f>
        <v>12908030</v>
      </c>
      <c r="L54" s="23">
        <f>VITALGO!$J$10</f>
        <v>14723731</v>
      </c>
      <c r="M54" s="23">
        <f>VITALGO!$K$10</f>
        <v>10751705</v>
      </c>
      <c r="N54" s="23">
        <f>VITALGO!$L$10</f>
        <v>16438386</v>
      </c>
      <c r="O54" s="23">
        <f>VITALGO!$M$10</f>
        <v>11028769</v>
      </c>
      <c r="P54" s="23">
        <f>VITALGO!$N$10</f>
        <v>11028769</v>
      </c>
      <c r="Q54" s="2" t="s">
        <v>110</v>
      </c>
      <c r="R54" s="2" t="s">
        <v>146</v>
      </c>
    </row>
    <row r="55" spans="1:18" ht="18" customHeight="1" x14ac:dyDescent="0.25">
      <c r="A55" s="20">
        <v>54</v>
      </c>
      <c r="B55" s="71" t="s">
        <v>141</v>
      </c>
      <c r="C55" s="23">
        <f>TOMITA!$N$3</f>
        <v>12370700</v>
      </c>
      <c r="D55" s="23">
        <f>TOMITA!$B$10</f>
        <v>19678699</v>
      </c>
      <c r="E55" s="23">
        <f>TOMITA!$C$10</f>
        <v>21562204</v>
      </c>
      <c r="F55" s="23">
        <f>TOMITA!$D$10</f>
        <v>27175044</v>
      </c>
      <c r="G55" s="23">
        <f>TOMITA!$E$10</f>
        <v>36592569</v>
      </c>
      <c r="H55" s="23">
        <f>TOMITA!$F$10</f>
        <v>44503290</v>
      </c>
      <c r="I55" s="23">
        <f>TOMITA!$G$10</f>
        <v>54297516</v>
      </c>
      <c r="J55" s="23">
        <f>TOMITA!$H$10</f>
        <v>66314273</v>
      </c>
      <c r="K55" s="23">
        <f>TOMITA!$I$10</f>
        <v>44088393</v>
      </c>
      <c r="L55" s="23">
        <f>TOMITA!$J$10</f>
        <v>56218166</v>
      </c>
      <c r="M55" s="23">
        <f>TOMITA!$K$10</f>
        <v>12935225</v>
      </c>
      <c r="N55" s="23">
        <f>TOMITA!$L$10</f>
        <v>16783878</v>
      </c>
      <c r="O55" s="23">
        <f>TOMITA!$M$10</f>
        <v>26081006</v>
      </c>
      <c r="P55" s="23">
        <f>TOMITA!$N$10</f>
        <v>26081006</v>
      </c>
      <c r="Q55" s="2" t="s">
        <v>105</v>
      </c>
      <c r="R55" s="2" t="s">
        <v>146</v>
      </c>
    </row>
    <row r="56" spans="1:18" ht="18" hidden="1" customHeight="1" x14ac:dyDescent="0.25">
      <c r="A56" s="20">
        <v>55</v>
      </c>
      <c r="B56" s="71" t="s">
        <v>142</v>
      </c>
      <c r="C56" s="23">
        <f>TERRA!N3</f>
        <v>1104505</v>
      </c>
      <c r="D56" s="23">
        <f>TERRA!$B$10</f>
        <v>-300230</v>
      </c>
      <c r="E56" s="23">
        <f>TERRA!$C$10</f>
        <v>-640130</v>
      </c>
      <c r="F56" s="23">
        <f>TERRA!$D$10</f>
        <v>-632264</v>
      </c>
      <c r="G56" s="23">
        <f>TERRA!$E$10</f>
        <v>-1728632</v>
      </c>
      <c r="H56" s="23">
        <f>TERRA!$F$10</f>
        <v>-1728632</v>
      </c>
      <c r="I56" s="23">
        <f>TERRA!$G$10</f>
        <v>-2099248</v>
      </c>
      <c r="J56" s="23">
        <f>TERRA!$H$10</f>
        <v>-2099248</v>
      </c>
      <c r="K56" s="23">
        <f>TERRA!$I$10</f>
        <v>-1616357</v>
      </c>
      <c r="L56" s="23">
        <f>TERRA!$J$10</f>
        <v>-1616357</v>
      </c>
      <c r="M56" s="23">
        <f>TERRA!$K$10</f>
        <v>-1616357</v>
      </c>
      <c r="N56" s="23">
        <f>TERRA!$L$10</f>
        <v>0</v>
      </c>
      <c r="O56" s="23">
        <f>TERRA!$M$10</f>
        <v>0</v>
      </c>
      <c r="P56" s="23">
        <f>TERRA!N10</f>
        <v>-1616357</v>
      </c>
      <c r="Q56" s="2" t="s">
        <v>154</v>
      </c>
      <c r="R56" s="2" t="s">
        <v>146</v>
      </c>
    </row>
    <row r="57" spans="1:18" ht="18" hidden="1" customHeight="1" x14ac:dyDescent="0.25">
      <c r="A57" s="20">
        <v>56</v>
      </c>
      <c r="B57" s="82" t="s">
        <v>149</v>
      </c>
      <c r="C57" s="23">
        <f>DALATFARM!$N$3</f>
        <v>9397382</v>
      </c>
      <c r="D57" s="23">
        <f>DALATFARM!$B$10</f>
        <v>17203717</v>
      </c>
      <c r="E57" s="23">
        <f>DALATFARM!$C$10</f>
        <v>16147411</v>
      </c>
      <c r="F57" s="23">
        <f>DALATFARM!$D$10</f>
        <v>25502946</v>
      </c>
      <c r="G57" s="23">
        <f>DALATFARM!$E$10</f>
        <v>37874469</v>
      </c>
      <c r="H57" s="23">
        <f>DALATFARM!$F$10</f>
        <v>50492748</v>
      </c>
      <c r="I57" s="23">
        <f>DALATFARM!$G$10</f>
        <v>60532246</v>
      </c>
      <c r="J57" s="23">
        <f>DALATFARM!$H$10</f>
        <v>28517411</v>
      </c>
      <c r="K57" s="23">
        <f>DALATFARM!$I$10</f>
        <v>34494857</v>
      </c>
      <c r="L57" s="23">
        <f>DALATFARM!$J$10</f>
        <v>39359593</v>
      </c>
      <c r="M57" s="23">
        <f>DALATFARM!$K$10</f>
        <v>38491209</v>
      </c>
      <c r="N57" s="23">
        <f>DALATFARM!$L$10</f>
        <v>0</v>
      </c>
      <c r="O57" s="23">
        <f>DALATFARM!$M$10</f>
        <v>0</v>
      </c>
      <c r="P57" s="23">
        <f>DALATFARM!$N$10</f>
        <v>0</v>
      </c>
      <c r="Q57" s="2" t="s">
        <v>105</v>
      </c>
      <c r="R57" s="2" t="s">
        <v>145</v>
      </c>
    </row>
    <row r="58" spans="1:18" ht="18" hidden="1" customHeight="1" x14ac:dyDescent="0.25">
      <c r="A58" s="20">
        <v>57</v>
      </c>
      <c r="B58" s="71" t="s">
        <v>151</v>
      </c>
      <c r="C58" s="23">
        <f>STTHANHCONG!N3</f>
        <v>4659</v>
      </c>
      <c r="D58" s="23">
        <f>STTHANHCONG!$B$10</f>
        <v>5329</v>
      </c>
      <c r="E58" s="23">
        <f>STTHANHCONG!$C$10</f>
        <v>6089</v>
      </c>
      <c r="F58" s="23">
        <f>STTHANHCONG!$D$10</f>
        <v>6089</v>
      </c>
      <c r="G58" s="23">
        <f>STTHANHCONG!$E$10</f>
        <v>6089</v>
      </c>
      <c r="H58" s="23">
        <f>STTHANHCONG!$F$10</f>
        <v>6089</v>
      </c>
      <c r="I58" s="23">
        <f>STTHANHCONG!$G$10</f>
        <v>6089</v>
      </c>
      <c r="J58" s="23">
        <f>STTHANHCONG!$H$10</f>
        <v>6089</v>
      </c>
      <c r="K58" s="23">
        <f>STTHANHCONG!$I$10</f>
        <v>6089</v>
      </c>
      <c r="L58" s="23">
        <f>STTHANHCONG!$J$10</f>
        <v>6089</v>
      </c>
      <c r="M58" s="23">
        <f>STTHANHCONG!$K$10</f>
        <v>6089</v>
      </c>
      <c r="N58" s="23">
        <f>STTHANHCONG!$L$10</f>
        <v>0</v>
      </c>
      <c r="O58" s="23">
        <f>STTHANHCONG!$M$10</f>
        <v>0</v>
      </c>
      <c r="P58" s="23">
        <f>STTHANHCONG!$N$10</f>
        <v>6089</v>
      </c>
      <c r="Q58" s="2" t="s">
        <v>154</v>
      </c>
      <c r="R58" s="2" t="s">
        <v>146</v>
      </c>
    </row>
    <row r="59" spans="1:18" s="21" customFormat="1" ht="22.5" customHeight="1" x14ac:dyDescent="0.25">
      <c r="A59" s="101" t="s">
        <v>90</v>
      </c>
      <c r="B59" s="102"/>
      <c r="C59" s="24">
        <f>SUM(C3:C58)</f>
        <v>15917819960.405998</v>
      </c>
      <c r="D59" s="24">
        <f t="shared" ref="D59:O59" si="0">SUM(D3:D58)</f>
        <v>20055942493.606003</v>
      </c>
      <c r="E59" s="24">
        <f t="shared" si="0"/>
        <v>17463882045.265999</v>
      </c>
      <c r="F59" s="24">
        <f t="shared" si="0"/>
        <v>12163309620.265999</v>
      </c>
      <c r="G59" s="24">
        <f t="shared" si="0"/>
        <v>11547489675.265999</v>
      </c>
      <c r="H59" s="24">
        <f t="shared" si="0"/>
        <v>13849894445.849199</v>
      </c>
      <c r="I59" s="24">
        <f t="shared" si="0"/>
        <v>14067076376.019199</v>
      </c>
      <c r="J59" s="24">
        <f t="shared" si="0"/>
        <v>15096333439.087799</v>
      </c>
      <c r="K59" s="24">
        <f t="shared" si="0"/>
        <v>16066288296.527798</v>
      </c>
      <c r="L59" s="24">
        <f t="shared" si="0"/>
        <v>17544254150.527798</v>
      </c>
      <c r="M59" s="24">
        <f t="shared" si="0"/>
        <v>19693393783.267799</v>
      </c>
      <c r="N59" s="24">
        <f t="shared" si="0"/>
        <v>14610824130.0378</v>
      </c>
      <c r="O59" s="24">
        <f t="shared" si="0"/>
        <v>16222916452.411798</v>
      </c>
      <c r="P59" s="24">
        <f>SUM(P3:P58)</f>
        <v>16468736280.437798</v>
      </c>
      <c r="Q59" s="2"/>
    </row>
  </sheetData>
  <autoFilter ref="A2:S59"/>
  <mergeCells count="2">
    <mergeCell ref="A1:P1"/>
    <mergeCell ref="A59:B59"/>
  </mergeCells>
  <hyperlinks>
    <hyperlink ref="B3" location="WIN!A1" display="WINCOMMERCE"/>
    <hyperlink ref="B58" location="STTHANHCONG!A1" display="STTHANHCONG"/>
    <hyperlink ref="B57" location="DALATFARM!A1" display="DALATFARM"/>
    <hyperlink ref="B32" location="TTMFARM!A1" display="TTMFARM"/>
    <hyperlink ref="B26" location="GDVN!A1" display="GIA ĐÌNH VIỆT NAM"/>
    <hyperlink ref="B56" location="TERRA!A1" display="TERRA"/>
    <hyperlink ref="B37" location="KMARKET!A1" display="KMARKET"/>
    <hyperlink ref="B55" location="TOMITA!A1" display="TOMITA"/>
    <hyperlink ref="B36" location="OKONO!A1" display="OKONO"/>
    <hyperlink ref="B54" location="VITALGO!A1" display="VITALGO"/>
    <hyperlink ref="B51" location="'MINH CẦU'!A1" display="MINH CẦU"/>
    <hyperlink ref="B52" location="PTMART!A1" display="PTMART"/>
    <hyperlink ref="B53" location="'ANH ĐĂNG TMART'!A1" display="ANH ĐĂNG TMART"/>
    <hyperlink ref="B50" location="LOCAL!A1" display="LOCALMART"/>
    <hyperlink ref="B48" location="HAPPYMART!A1" display="HAPPYMART"/>
    <hyperlink ref="B49" location="TOMO!A1" display="HTL - TOMO"/>
    <hyperlink ref="B45" location="SUNSHINE!A1" display="SMART - SUNSHINE"/>
    <hyperlink ref="B46" location="'V+ HÒA BÌNH'!A1" display="V+HÒA BÌNH"/>
    <hyperlink ref="B47" location="EASYMART!A1" display="EASYMART"/>
    <hyperlink ref="B35" location="UNIT!A1" display="UNIT"/>
    <hyperlink ref="B43" location="CLEVERFOOD!A1" display="CLEVERFOOD"/>
    <hyperlink ref="B44" location="UNO!A1" display="UNO"/>
    <hyperlink ref="B34" location="'VIỆT Ý'!A1" display="VIỆT Ý HÀ NỘI"/>
    <hyperlink ref="B42" location="SIBA!A1" display="SIBA FOOD"/>
    <hyperlink ref="B41" location="TMART!A1" display="T - MARTSTORES"/>
    <hyperlink ref="B40" location="DTH!A1" display="ĐẠI THANH HẢI"/>
    <hyperlink ref="B39" location="BRG!A1" display="BRG"/>
    <hyperlink ref="B23" location="RETAIL!A1" display="RETAIL"/>
    <hyperlink ref="B24" location="SHINSHEN!A1" display="SHINSEN GROUP"/>
    <hyperlink ref="B25" location="FINEMART!A1" display="FINEMART"/>
    <hyperlink ref="B27" location="'INTIMEX ĐN'!A1" display="INTIMEX ĐÀ NẴNG"/>
    <hyperlink ref="B28" location="'JMART QT'!A1" display="JMART QUỐC TẾT"/>
    <hyperlink ref="B29" location="KINGFOOD!A1" display="KING FOOD"/>
    <hyperlink ref="B38" location="'K&amp;K'!A1" display="K&amp;K"/>
    <hyperlink ref="B30" location="HNT!A1" display="KHẢI SAN - HNT"/>
    <hyperlink ref="B31" location="MEKONG!A1" display="MEKONG GOURMET"/>
    <hyperlink ref="B33" location="TELIO!A1" display="TELIO"/>
    <hyperlink ref="B13" location="'SATRA-004'!A1" display="SATRA - SIÊU THỊ SÀI GÒN"/>
    <hyperlink ref="B14" location="'SATRA-020'!A1" display="SATRA ĐƯỜNG PHẠM HÙNG"/>
    <hyperlink ref="B15" location="'SATRA-025'!A1" display="TT ĐIỀU HÀNH SATRAFOOD"/>
    <hyperlink ref="B16" location="'SATRA-027'!A1" display="SATRA CỦ CHI"/>
    <hyperlink ref="B17" location="NHATMINH!A1" display="NHẬT MINH"/>
    <hyperlink ref="B18" location="'VIỆT Ý NT'!A1" display="VIỆT Ý NHA TRANG"/>
    <hyperlink ref="B19" location="LARIA!A1" display="LARIA"/>
    <hyperlink ref="B20" location="NOVA!A1" display="NOVA"/>
    <hyperlink ref="B21" location="SEVEN!A1" display="SEVEN"/>
    <hyperlink ref="B22" location="SAIGONHD!A1" display="SÀI GÒN HD"/>
    <hyperlink ref="B12" location="'GS25'!A1" display="GS25"/>
    <hyperlink ref="B11" location="COOP!A1" display="COOP"/>
    <hyperlink ref="B10" location="AEON!A1" display="ĐÔNG HƯNG (AEON)"/>
    <hyperlink ref="B9" location="'SÀNH ĐIỆU'!A1" display="SÀNH ĐIỆU"/>
    <hyperlink ref="B8" location="MEGA!A1" display="MEGA"/>
    <hyperlink ref="B7" location="LOTTE!A1" display="LOTTE"/>
    <hyperlink ref="B6" location="BIGC!A1" display="EB - BIGC"/>
    <hyperlink ref="B4" location="'CIRCLEK MB'!A1" display="CIRCLE K MB"/>
    <hyperlink ref="B5" location="'CIRCLEK MN'!A1" display="CIRCLE K MN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16.140625" style="5" customWidth="1"/>
    <col min="2" max="13" width="15.28515625" style="5" customWidth="1"/>
    <col min="14" max="14" width="18.5703125" style="5" customWidth="1"/>
    <col min="15" max="16" width="13.85546875" style="1" bestFit="1" customWidth="1"/>
    <col min="17" max="16384" width="9.140625" style="1"/>
  </cols>
  <sheetData>
    <row r="1" spans="1:16" ht="15.75" x14ac:dyDescent="0.25">
      <c r="L1" s="103" t="s">
        <v>106</v>
      </c>
      <c r="M1" s="103"/>
      <c r="N1" s="103"/>
    </row>
    <row r="2" spans="1:16" ht="18.75" x14ac:dyDescent="0.25">
      <c r="B2" s="104" t="s">
        <v>19</v>
      </c>
      <c r="C2" s="104"/>
      <c r="D2" s="104"/>
      <c r="E2" s="104"/>
      <c r="F2" s="104"/>
    </row>
    <row r="3" spans="1:16" ht="30" customHeight="1" x14ac:dyDescent="0.25">
      <c r="B3" s="5" t="s">
        <v>99</v>
      </c>
      <c r="M3" s="6" t="s">
        <v>153</v>
      </c>
      <c r="N3" s="7">
        <f>1387168228+5140677</f>
        <v>1392308905</v>
      </c>
      <c r="O3" s="57"/>
      <c r="P3" s="57"/>
    </row>
    <row r="4" spans="1:16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6" x14ac:dyDescent="0.25">
      <c r="A5" s="11" t="s">
        <v>91</v>
      </c>
      <c r="B5" s="12">
        <v>2054877162</v>
      </c>
      <c r="C5" s="12">
        <v>968461562</v>
      </c>
      <c r="D5" s="12">
        <v>927183514</v>
      </c>
      <c r="E5" s="12">
        <v>866302317</v>
      </c>
      <c r="F5" s="12">
        <v>1031307526</v>
      </c>
      <c r="G5" s="12">
        <v>932405805</v>
      </c>
      <c r="H5" s="12">
        <v>1218330437</v>
      </c>
      <c r="I5" s="12">
        <v>1054848171</v>
      </c>
      <c r="J5" s="12">
        <v>1051723457</v>
      </c>
      <c r="K5" s="12">
        <v>1097902926</v>
      </c>
      <c r="L5" s="12">
        <v>1006696422</v>
      </c>
      <c r="M5" s="12">
        <v>1262768960</v>
      </c>
      <c r="N5" s="13">
        <f>SUM(B5:M5)</f>
        <v>13472808259</v>
      </c>
    </row>
    <row r="6" spans="1:16" x14ac:dyDescent="0.25">
      <c r="A6" s="11" t="s">
        <v>92</v>
      </c>
      <c r="B6" s="12">
        <v>43599200</v>
      </c>
      <c r="C6" s="62">
        <v>35347422</v>
      </c>
      <c r="D6" s="12">
        <v>107981702</v>
      </c>
      <c r="E6" s="12">
        <v>75780132</v>
      </c>
      <c r="F6" s="12">
        <v>106428676</v>
      </c>
      <c r="G6" s="12">
        <v>133708685</v>
      </c>
      <c r="H6" s="12">
        <v>85132657</v>
      </c>
      <c r="I6" s="12">
        <v>93948244</v>
      </c>
      <c r="J6" s="12">
        <v>91838734</v>
      </c>
      <c r="K6" s="12">
        <v>98519864</v>
      </c>
      <c r="L6" s="12">
        <v>105584179</v>
      </c>
      <c r="M6" s="14">
        <v>74429330</v>
      </c>
      <c r="N6" s="13">
        <f t="shared" ref="N6:N9" si="0">SUM(B6:M6)</f>
        <v>1052298825</v>
      </c>
    </row>
    <row r="7" spans="1:16" x14ac:dyDescent="0.25">
      <c r="A7" s="11" t="s">
        <v>93</v>
      </c>
      <c r="B7" s="12">
        <v>200285240</v>
      </c>
      <c r="C7" s="12">
        <v>189930924</v>
      </c>
      <c r="D7" s="12">
        <v>216438072</v>
      </c>
      <c r="E7" s="12">
        <v>119618936</v>
      </c>
      <c r="F7" s="12">
        <v>105141034</v>
      </c>
      <c r="G7" s="12">
        <v>230265042</v>
      </c>
      <c r="H7" s="12">
        <v>128326812</v>
      </c>
      <c r="I7" s="12">
        <v>135308830</v>
      </c>
      <c r="J7" s="12">
        <v>126938078</v>
      </c>
      <c r="K7" s="12">
        <v>169227520</v>
      </c>
      <c r="L7" s="12">
        <v>118240792</v>
      </c>
      <c r="M7" s="14">
        <v>144472530</v>
      </c>
      <c r="N7" s="13">
        <f t="shared" si="0"/>
        <v>1884193810</v>
      </c>
    </row>
    <row r="8" spans="1:16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75"/>
      <c r="N8" s="13">
        <f t="shared" si="0"/>
        <v>0</v>
      </c>
    </row>
    <row r="9" spans="1:16" x14ac:dyDescent="0.25">
      <c r="A9" s="11" t="s">
        <v>95</v>
      </c>
      <c r="B9" s="12">
        <v>1021430814</v>
      </c>
      <c r="C9" s="12">
        <v>1582912700</v>
      </c>
      <c r="D9" s="12">
        <v>947785346</v>
      </c>
      <c r="E9" s="12">
        <v>658609118</v>
      </c>
      <c r="F9" s="12">
        <v>663299876</v>
      </c>
      <c r="G9" s="12">
        <v>657601039</v>
      </c>
      <c r="H9" s="12">
        <v>836265634</v>
      </c>
      <c r="I9" s="12">
        <v>779430234</v>
      </c>
      <c r="J9" s="12">
        <v>756517106</v>
      </c>
      <c r="K9" s="12">
        <v>1182726234</v>
      </c>
      <c r="L9" s="12">
        <v>672768011</v>
      </c>
      <c r="M9" s="12">
        <v>940186346</v>
      </c>
      <c r="N9" s="13">
        <f t="shared" si="0"/>
        <v>10699532458</v>
      </c>
    </row>
    <row r="10" spans="1:16" s="17" customFormat="1" ht="14.25" x14ac:dyDescent="0.2">
      <c r="A10" s="15" t="s">
        <v>96</v>
      </c>
      <c r="B10" s="16">
        <f>+N3+B5-B6-B7-B8-B9</f>
        <v>2181870813</v>
      </c>
      <c r="C10" s="16">
        <f t="shared" ref="C10:M10" si="1">+B10+C5-C6-C7-C8-C9</f>
        <v>1342141329</v>
      </c>
      <c r="D10" s="16">
        <f t="shared" si="1"/>
        <v>997119723</v>
      </c>
      <c r="E10" s="16">
        <f t="shared" si="1"/>
        <v>1009413854</v>
      </c>
      <c r="F10" s="16">
        <f t="shared" si="1"/>
        <v>1165851794</v>
      </c>
      <c r="G10" s="16">
        <f t="shared" si="1"/>
        <v>1076682833</v>
      </c>
      <c r="H10" s="16">
        <f t="shared" si="1"/>
        <v>1245288167</v>
      </c>
      <c r="I10" s="16">
        <f t="shared" si="1"/>
        <v>1291449030</v>
      </c>
      <c r="J10" s="16">
        <f t="shared" si="1"/>
        <v>1367878569</v>
      </c>
      <c r="K10" s="16">
        <f t="shared" si="1"/>
        <v>1015307877</v>
      </c>
      <c r="L10" s="16">
        <f t="shared" si="1"/>
        <v>1125411317</v>
      </c>
      <c r="M10" s="16">
        <f t="shared" si="1"/>
        <v>1229092071</v>
      </c>
      <c r="N10" s="13">
        <f>N3+N5-N6-N7-N8-N9</f>
        <v>1229092071</v>
      </c>
    </row>
    <row r="13" spans="1:16" x14ac:dyDescent="0.25">
      <c r="B13" s="29"/>
      <c r="C13" s="29"/>
      <c r="D13" s="29"/>
      <c r="E13" s="29"/>
      <c r="F13" s="29"/>
      <c r="G13" s="29"/>
      <c r="H13" s="29"/>
      <c r="I13" s="29"/>
    </row>
    <row r="15" spans="1:16" x14ac:dyDescent="0.25">
      <c r="H15" s="62"/>
      <c r="I15" s="62"/>
    </row>
    <row r="16" spans="1:16" x14ac:dyDescent="0.25">
      <c r="I16" s="29"/>
    </row>
    <row r="17" spans="4:11" x14ac:dyDescent="0.25">
      <c r="E17" s="29"/>
      <c r="F17" s="29"/>
      <c r="I17" s="94"/>
      <c r="K17" s="29"/>
    </row>
    <row r="19" spans="4:11" x14ac:dyDescent="0.25">
      <c r="I19" s="29"/>
    </row>
    <row r="20" spans="4:11" x14ac:dyDescent="0.25">
      <c r="H20" s="29"/>
    </row>
    <row r="24" spans="4:11" x14ac:dyDescent="0.25">
      <c r="D24" s="29"/>
      <c r="E24" s="29"/>
    </row>
    <row r="26" spans="4:11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33" customWidth="1"/>
    <col min="2" max="13" width="15.7109375" style="33" customWidth="1"/>
    <col min="14" max="14" width="15.42578125" style="33" customWidth="1"/>
    <col min="15" max="16" width="9.140625" style="2"/>
    <col min="17" max="17" width="12.28515625" style="2" bestFit="1" customWidth="1"/>
    <col min="18" max="16384" width="9.140625" style="2"/>
  </cols>
  <sheetData>
    <row r="1" spans="1:17" ht="15.75" x14ac:dyDescent="0.25">
      <c r="L1" s="105" t="s">
        <v>106</v>
      </c>
      <c r="M1" s="105"/>
      <c r="N1" s="105"/>
    </row>
    <row r="2" spans="1:17" ht="18.75" x14ac:dyDescent="0.25">
      <c r="B2" s="104" t="s">
        <v>109</v>
      </c>
      <c r="C2" s="104"/>
      <c r="D2" s="104"/>
      <c r="E2" s="104"/>
      <c r="F2" s="104"/>
    </row>
    <row r="3" spans="1:17" ht="28.5" x14ac:dyDescent="0.25">
      <c r="B3" s="33" t="s">
        <v>99</v>
      </c>
      <c r="M3" s="34" t="s">
        <v>153</v>
      </c>
      <c r="N3" s="35">
        <v>946487274</v>
      </c>
      <c r="Q3" s="58"/>
    </row>
    <row r="4" spans="1:17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7" x14ac:dyDescent="0.25">
      <c r="A5" s="36" t="s">
        <v>91</v>
      </c>
      <c r="B5" s="54">
        <v>755481131</v>
      </c>
      <c r="C5" s="54">
        <v>252563475</v>
      </c>
      <c r="D5" s="54">
        <v>332402370</v>
      </c>
      <c r="E5" s="54">
        <v>347836903</v>
      </c>
      <c r="F5" s="54">
        <v>296826800</v>
      </c>
      <c r="G5" s="54">
        <v>375037857</v>
      </c>
      <c r="H5" s="37">
        <v>429415960</v>
      </c>
      <c r="I5" s="37">
        <v>585699583</v>
      </c>
      <c r="J5" s="37">
        <v>330944697</v>
      </c>
      <c r="K5" s="37">
        <v>416543329</v>
      </c>
      <c r="L5" s="37">
        <v>447847878</v>
      </c>
      <c r="M5" s="37">
        <v>608649554</v>
      </c>
      <c r="N5" s="38">
        <f>SUM(B5:M5)</f>
        <v>5179249537</v>
      </c>
    </row>
    <row r="6" spans="1:17" x14ac:dyDescent="0.25">
      <c r="A6" s="36" t="s">
        <v>92</v>
      </c>
      <c r="B6" s="54">
        <v>3812845</v>
      </c>
      <c r="C6" s="54">
        <v>2847038</v>
      </c>
      <c r="D6" s="54">
        <v>6933449</v>
      </c>
      <c r="E6" s="54">
        <v>1441058</v>
      </c>
      <c r="F6" s="54">
        <v>4801814</v>
      </c>
      <c r="G6" s="54">
        <v>5927020</v>
      </c>
      <c r="H6" s="37">
        <v>6047494</v>
      </c>
      <c r="I6" s="37">
        <v>6091880</v>
      </c>
      <c r="J6" s="37">
        <v>7762904</v>
      </c>
      <c r="K6" s="37">
        <v>20375528</v>
      </c>
      <c r="L6" s="37">
        <v>4538723</v>
      </c>
      <c r="M6" s="39">
        <v>5424654</v>
      </c>
      <c r="N6" s="38">
        <f t="shared" ref="N6:N9" si="0">SUM(B6:M6)</f>
        <v>76004407</v>
      </c>
    </row>
    <row r="7" spans="1:17" x14ac:dyDescent="0.25">
      <c r="A7" s="36" t="s">
        <v>93</v>
      </c>
      <c r="B7" s="54">
        <v>123883457</v>
      </c>
      <c r="C7" s="54">
        <v>199213936</v>
      </c>
      <c r="D7" s="54">
        <v>59064135</v>
      </c>
      <c r="E7" s="54">
        <v>70292123</v>
      </c>
      <c r="F7" s="54">
        <v>74277688</v>
      </c>
      <c r="G7" s="54">
        <v>66879474</v>
      </c>
      <c r="H7" s="37">
        <v>80569483</v>
      </c>
      <c r="I7" s="37">
        <v>88613543</v>
      </c>
      <c r="J7" s="37">
        <v>125533191</v>
      </c>
      <c r="K7" s="37">
        <v>67851087</v>
      </c>
      <c r="L7" s="37">
        <v>89654055</v>
      </c>
      <c r="M7" s="39">
        <v>94494754</v>
      </c>
      <c r="N7" s="38">
        <f t="shared" si="0"/>
        <v>1140326926</v>
      </c>
    </row>
    <row r="8" spans="1:17" x14ac:dyDescent="0.25">
      <c r="A8" s="36" t="s">
        <v>94</v>
      </c>
      <c r="B8" s="54"/>
      <c r="C8" s="54"/>
      <c r="D8" s="54"/>
      <c r="E8" s="54"/>
      <c r="F8" s="54"/>
      <c r="G8" s="54"/>
      <c r="H8" s="37"/>
      <c r="I8" s="37"/>
      <c r="J8" s="37"/>
      <c r="K8" s="37"/>
      <c r="L8" s="37"/>
      <c r="M8" s="39"/>
      <c r="N8" s="38">
        <f t="shared" si="0"/>
        <v>0</v>
      </c>
    </row>
    <row r="9" spans="1:17" x14ac:dyDescent="0.25">
      <c r="A9" s="36" t="s">
        <v>95</v>
      </c>
      <c r="B9" s="54">
        <v>417696728</v>
      </c>
      <c r="C9" s="54">
        <v>358062136</v>
      </c>
      <c r="D9" s="54">
        <v>488298902</v>
      </c>
      <c r="E9" s="54">
        <v>294719254</v>
      </c>
      <c r="F9" s="54">
        <v>258042244</v>
      </c>
      <c r="G9" s="54">
        <v>270504634</v>
      </c>
      <c r="H9" s="37">
        <v>214002204</v>
      </c>
      <c r="I9" s="37">
        <v>294776490</v>
      </c>
      <c r="J9" s="37">
        <v>344477940</v>
      </c>
      <c r="K9" s="37">
        <v>442949638</v>
      </c>
      <c r="L9" s="37">
        <v>244611283</v>
      </c>
      <c r="M9" s="37">
        <v>322333343</v>
      </c>
      <c r="N9" s="38">
        <f t="shared" si="0"/>
        <v>3950474796</v>
      </c>
    </row>
    <row r="10" spans="1:17" s="21" customFormat="1" ht="14.25" x14ac:dyDescent="0.25">
      <c r="A10" s="40" t="s">
        <v>96</v>
      </c>
      <c r="B10" s="41">
        <f>+N3+B5-B6-B7-B8-B9</f>
        <v>1156575375</v>
      </c>
      <c r="C10" s="41">
        <f t="shared" ref="C10:M10" si="1">+B10+C5-C6-C7-C8-C9</f>
        <v>849015740</v>
      </c>
      <c r="D10" s="41">
        <f t="shared" si="1"/>
        <v>627121624</v>
      </c>
      <c r="E10" s="41">
        <f t="shared" si="1"/>
        <v>608506092</v>
      </c>
      <c r="F10" s="41">
        <f t="shared" si="1"/>
        <v>568211146</v>
      </c>
      <c r="G10" s="41">
        <f t="shared" si="1"/>
        <v>599937875</v>
      </c>
      <c r="H10" s="41">
        <f t="shared" si="1"/>
        <v>728734654</v>
      </c>
      <c r="I10" s="41">
        <f t="shared" si="1"/>
        <v>924952324</v>
      </c>
      <c r="J10" s="41">
        <f t="shared" si="1"/>
        <v>778122986</v>
      </c>
      <c r="K10" s="41">
        <f t="shared" si="1"/>
        <v>663490062</v>
      </c>
      <c r="L10" s="41">
        <f t="shared" si="1"/>
        <v>772533879</v>
      </c>
      <c r="M10" s="41">
        <f t="shared" si="1"/>
        <v>958930682</v>
      </c>
      <c r="N10" s="38">
        <f>N3+N5-N6-N7-N8-N9</f>
        <v>958930682</v>
      </c>
    </row>
    <row r="13" spans="1:17" x14ac:dyDescent="0.25">
      <c r="K13" s="65"/>
    </row>
    <row r="14" spans="1:17" x14ac:dyDescent="0.25">
      <c r="J14" s="65"/>
    </row>
    <row r="26" spans="7:7" x14ac:dyDescent="0.25">
      <c r="G26" s="42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5.42578125" style="5" customWidth="1"/>
    <col min="2" max="2" width="13.5703125" style="5" customWidth="1"/>
    <col min="3" max="3" width="14.7109375" style="5" customWidth="1"/>
    <col min="4" max="4" width="14.5703125" style="5" customWidth="1"/>
    <col min="5" max="13" width="15.855468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21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152465116.48000002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98348288</v>
      </c>
      <c r="C5" s="12">
        <v>47703528</v>
      </c>
      <c r="D5" s="12">
        <v>11993940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10865955</v>
      </c>
      <c r="L5" s="12">
        <v>21617307</v>
      </c>
      <c r="M5" s="12">
        <v>30088981</v>
      </c>
      <c r="N5" s="13">
        <f>SUM(B5:M5)</f>
        <v>220617999</v>
      </c>
    </row>
    <row r="6" spans="1:14" x14ac:dyDescent="0.25">
      <c r="A6" s="11" t="s">
        <v>92</v>
      </c>
      <c r="B6" s="12">
        <v>5265739</v>
      </c>
      <c r="C6" s="12"/>
      <c r="D6" s="12"/>
      <c r="E6" s="12">
        <v>27870332</v>
      </c>
      <c r="F6" s="12">
        <v>22379707</v>
      </c>
      <c r="G6" s="12">
        <v>949787</v>
      </c>
      <c r="H6" s="12"/>
      <c r="I6" s="12"/>
      <c r="J6" s="12"/>
      <c r="K6" s="12"/>
      <c r="L6" s="12"/>
      <c r="M6" s="14"/>
      <c r="N6" s="13">
        <f t="shared" ref="N6:N9" si="0">SUM(B6:M6)</f>
        <v>56465565</v>
      </c>
    </row>
    <row r="7" spans="1:14" ht="15.75" x14ac:dyDescent="0.25">
      <c r="A7" s="11" t="s">
        <v>93</v>
      </c>
      <c r="B7" s="12"/>
      <c r="C7" s="12"/>
      <c r="D7" s="12"/>
      <c r="E7" s="12"/>
      <c r="F7" s="12"/>
      <c r="G7" s="12"/>
      <c r="H7" s="12"/>
      <c r="I7" s="51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132</v>
      </c>
      <c r="B8" s="12"/>
      <c r="C8" s="12"/>
      <c r="D8" s="12">
        <v>39998920</v>
      </c>
      <c r="E8" s="12"/>
      <c r="F8" s="12">
        <v>12230058</v>
      </c>
      <c r="G8" s="12">
        <v>4586273</v>
      </c>
      <c r="H8" s="12"/>
      <c r="I8" s="12"/>
      <c r="J8" s="12"/>
      <c r="K8" s="12"/>
      <c r="L8" s="12"/>
      <c r="M8" s="14"/>
      <c r="N8" s="13">
        <f t="shared" si="0"/>
        <v>56815251</v>
      </c>
    </row>
    <row r="9" spans="1:14" x14ac:dyDescent="0.25">
      <c r="A9" s="11" t="s">
        <v>95</v>
      </c>
      <c r="B9" s="12"/>
      <c r="C9" s="12"/>
      <c r="D9" s="12">
        <v>86515715</v>
      </c>
      <c r="E9" s="12"/>
      <c r="F9" s="12"/>
      <c r="G9" s="12"/>
      <c r="H9" s="12"/>
      <c r="I9" s="12"/>
      <c r="J9" s="12"/>
      <c r="K9" s="12"/>
      <c r="L9" s="12"/>
      <c r="M9" s="12">
        <v>119400992</v>
      </c>
      <c r="N9" s="13">
        <f t="shared" si="0"/>
        <v>205916707</v>
      </c>
    </row>
    <row r="10" spans="1:14" s="17" customFormat="1" ht="14.25" x14ac:dyDescent="0.2">
      <c r="A10" s="15" t="s">
        <v>96</v>
      </c>
      <c r="B10" s="16">
        <f>N3+B5-B6-B7-B8-B9</f>
        <v>245547665.48000002</v>
      </c>
      <c r="C10" s="16">
        <f>B10+O3+C5-C6-C7-C8-C9</f>
        <v>293251193.48000002</v>
      </c>
      <c r="D10" s="16">
        <f>C10+P3+D5-D6-D7-D8-D9</f>
        <v>178730498.48000002</v>
      </c>
      <c r="E10" s="16">
        <f t="shared" ref="E10:G10" si="1">D10+Q3+E5-E6-E7-E8-E9</f>
        <v>150860166.48000002</v>
      </c>
      <c r="F10" s="16">
        <f t="shared" si="1"/>
        <v>116250401.48000002</v>
      </c>
      <c r="G10" s="16">
        <f t="shared" si="1"/>
        <v>110714341.48000002</v>
      </c>
      <c r="H10" s="16">
        <f t="shared" ref="H10:M10" si="2">G10+T3+H5-H6-H7-H8-H9</f>
        <v>110714341.48000002</v>
      </c>
      <c r="I10" s="16">
        <f t="shared" si="2"/>
        <v>110714341.48000002</v>
      </c>
      <c r="J10" s="16">
        <f t="shared" si="2"/>
        <v>110714341.48000002</v>
      </c>
      <c r="K10" s="16">
        <f t="shared" si="2"/>
        <v>121580296.48000002</v>
      </c>
      <c r="L10" s="16">
        <f t="shared" si="2"/>
        <v>143197603.48000002</v>
      </c>
      <c r="M10" s="16">
        <f t="shared" si="2"/>
        <v>53885592.480000019</v>
      </c>
      <c r="N10" s="13">
        <f>N3+N5-N6-N7-N8-N9</f>
        <v>53885592.480000019</v>
      </c>
    </row>
    <row r="11" spans="1:14" ht="30" customHeight="1" x14ac:dyDescent="0.25"/>
    <row r="12" spans="1:14" ht="45" x14ac:dyDescent="0.25">
      <c r="B12" s="29"/>
      <c r="D12" s="5" t="s">
        <v>165</v>
      </c>
      <c r="F12" s="5" t="s">
        <v>169</v>
      </c>
      <c r="G12" s="5" t="s">
        <v>171</v>
      </c>
    </row>
    <row r="14" spans="1:14" x14ac:dyDescent="0.25">
      <c r="B14" s="1"/>
    </row>
    <row r="20" spans="7:7" x14ac:dyDescent="0.25">
      <c r="G20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0" style="1" bestFit="1" customWidth="1"/>
    <col min="16" max="16" width="11.5703125" style="1" bestFit="1" customWidth="1"/>
    <col min="17" max="16384" width="9.140625" style="1"/>
  </cols>
  <sheetData>
    <row r="1" spans="1:16" ht="15.75" x14ac:dyDescent="0.25">
      <c r="L1" s="103" t="s">
        <v>106</v>
      </c>
      <c r="M1" s="103"/>
      <c r="N1" s="103"/>
    </row>
    <row r="2" spans="1:16" ht="18.75" x14ac:dyDescent="0.25">
      <c r="B2" s="104" t="s">
        <v>22</v>
      </c>
      <c r="C2" s="104"/>
      <c r="D2" s="104"/>
      <c r="E2" s="104"/>
      <c r="F2" s="104"/>
    </row>
    <row r="3" spans="1:16" ht="29.25" x14ac:dyDescent="0.25">
      <c r="B3" s="5" t="s">
        <v>99</v>
      </c>
      <c r="M3" s="6" t="s">
        <v>97</v>
      </c>
      <c r="N3" s="7">
        <v>40809460</v>
      </c>
    </row>
    <row r="4" spans="1:16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6" x14ac:dyDescent="0.25">
      <c r="A5" s="11" t="s">
        <v>91</v>
      </c>
      <c r="B5" s="55">
        <v>229157567</v>
      </c>
      <c r="C5" s="55">
        <v>62521537</v>
      </c>
      <c r="D5" s="55">
        <v>82928023</v>
      </c>
      <c r="E5" s="55">
        <v>79247847</v>
      </c>
      <c r="F5" s="55">
        <v>62060969</v>
      </c>
      <c r="G5" s="55">
        <v>71856590</v>
      </c>
      <c r="H5" s="12">
        <v>64850967</v>
      </c>
      <c r="I5" s="12">
        <v>80557806</v>
      </c>
      <c r="J5" s="12">
        <v>58710079</v>
      </c>
      <c r="K5" s="12">
        <v>69669978</v>
      </c>
      <c r="L5" s="12">
        <v>98758599</v>
      </c>
      <c r="M5" s="12">
        <v>156497603</v>
      </c>
      <c r="N5" s="13">
        <f>SUM(B5:M5)</f>
        <v>1116817565</v>
      </c>
    </row>
    <row r="6" spans="1:16" x14ac:dyDescent="0.25">
      <c r="A6" s="11" t="s">
        <v>92</v>
      </c>
      <c r="B6" s="55">
        <v>479771</v>
      </c>
      <c r="C6" s="55"/>
      <c r="D6" s="55">
        <v>1229528</v>
      </c>
      <c r="E6" s="55">
        <v>638458</v>
      </c>
      <c r="F6" s="55">
        <v>225845</v>
      </c>
      <c r="G6" s="55">
        <v>8898416</v>
      </c>
      <c r="H6" s="12">
        <v>2014383</v>
      </c>
      <c r="I6" s="12">
        <v>1306885</v>
      </c>
      <c r="J6" s="12">
        <v>1542937</v>
      </c>
      <c r="K6" s="12">
        <v>253925</v>
      </c>
      <c r="L6" s="12">
        <v>839599</v>
      </c>
      <c r="M6" s="14">
        <v>385774</v>
      </c>
      <c r="N6" s="13">
        <f t="shared" ref="N6:N9" si="0">SUM(B6:M6)</f>
        <v>17815521</v>
      </c>
    </row>
    <row r="7" spans="1:16" x14ac:dyDescent="0.25">
      <c r="A7" s="11" t="s">
        <v>93</v>
      </c>
      <c r="B7" s="12">
        <v>15223627</v>
      </c>
      <c r="C7" s="12">
        <v>48990712</v>
      </c>
      <c r="D7" s="12">
        <v>12202444</v>
      </c>
      <c r="E7" s="12">
        <v>13740956</v>
      </c>
      <c r="F7" s="12">
        <v>15201404</v>
      </c>
      <c r="G7" s="12">
        <v>7967388</v>
      </c>
      <c r="H7" s="12">
        <v>10310967</v>
      </c>
      <c r="I7" s="12">
        <v>13931621</v>
      </c>
      <c r="J7" s="12">
        <v>13323241</v>
      </c>
      <c r="K7" s="12">
        <v>9664148</v>
      </c>
      <c r="L7" s="12">
        <v>11037680</v>
      </c>
      <c r="M7" s="14">
        <v>18014039</v>
      </c>
      <c r="N7" s="13">
        <f t="shared" si="0"/>
        <v>189608227</v>
      </c>
    </row>
    <row r="8" spans="1:16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 x14ac:dyDescent="0.25">
      <c r="A9" s="11" t="s">
        <v>95</v>
      </c>
      <c r="B9" s="12">
        <v>79270040</v>
      </c>
      <c r="C9" s="12">
        <v>46180737</v>
      </c>
      <c r="D9" s="12">
        <v>131349413</v>
      </c>
      <c r="E9" s="12">
        <v>92108965</v>
      </c>
      <c r="F9" s="12">
        <v>38460339</v>
      </c>
      <c r="G9" s="12">
        <v>44372646</v>
      </c>
      <c r="H9" s="12">
        <v>85040499</v>
      </c>
      <c r="I9" s="12">
        <v>35948552</v>
      </c>
      <c r="J9" s="12">
        <v>50137829</v>
      </c>
      <c r="K9" s="12">
        <v>65593905</v>
      </c>
      <c r="L9" s="12">
        <v>55999448</v>
      </c>
      <c r="M9" s="12">
        <v>73996631</v>
      </c>
      <c r="N9" s="13">
        <f t="shared" si="0"/>
        <v>798459004</v>
      </c>
    </row>
    <row r="10" spans="1:16" s="17" customFormat="1" x14ac:dyDescent="0.25">
      <c r="A10" s="15" t="s">
        <v>96</v>
      </c>
      <c r="B10" s="16">
        <f>+N3+B5-B6-B7-B8-B9</f>
        <v>174993589</v>
      </c>
      <c r="C10" s="16">
        <f t="shared" ref="C10:M10" si="1">+B10+C5-C6-C7-C8-C9</f>
        <v>142343677</v>
      </c>
      <c r="D10" s="16">
        <f t="shared" si="1"/>
        <v>80490315</v>
      </c>
      <c r="E10" s="16">
        <f t="shared" si="1"/>
        <v>53249783</v>
      </c>
      <c r="F10" s="16">
        <f t="shared" si="1"/>
        <v>61423164</v>
      </c>
      <c r="G10" s="16">
        <f t="shared" si="1"/>
        <v>72041304</v>
      </c>
      <c r="H10" s="16">
        <f t="shared" si="1"/>
        <v>39526422</v>
      </c>
      <c r="I10" s="16">
        <f t="shared" si="1"/>
        <v>68897170</v>
      </c>
      <c r="J10" s="16">
        <f t="shared" si="1"/>
        <v>62603242</v>
      </c>
      <c r="K10" s="16">
        <f t="shared" si="1"/>
        <v>56761242</v>
      </c>
      <c r="L10" s="16">
        <f t="shared" si="1"/>
        <v>87643114</v>
      </c>
      <c r="M10" s="16">
        <f t="shared" si="1"/>
        <v>151744273</v>
      </c>
      <c r="N10" s="13">
        <f>N3+N5-N6-N7-N8-N9</f>
        <v>151744273</v>
      </c>
      <c r="P10" s="1"/>
    </row>
    <row r="13" spans="1:16" x14ac:dyDescent="0.25">
      <c r="H13" s="29"/>
    </row>
    <row r="14" spans="1:16" x14ac:dyDescent="0.25">
      <c r="G14" s="29"/>
    </row>
    <row r="15" spans="1:16" x14ac:dyDescent="0.25">
      <c r="C15" s="29"/>
      <c r="F15" s="29"/>
    </row>
    <row r="17" spans="7:7" x14ac:dyDescent="0.25">
      <c r="G17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23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536669673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600128185</v>
      </c>
      <c r="C5" s="12">
        <v>440011116</v>
      </c>
      <c r="D5" s="12">
        <v>256972681</v>
      </c>
      <c r="E5" s="12">
        <v>190837212</v>
      </c>
      <c r="F5" s="12">
        <v>233664063</v>
      </c>
      <c r="G5" s="12">
        <v>293123352</v>
      </c>
      <c r="H5" s="12">
        <v>344126485</v>
      </c>
      <c r="I5" s="12">
        <v>242458886</v>
      </c>
      <c r="J5" s="12">
        <v>308711644</v>
      </c>
      <c r="K5" s="12">
        <v>361977654</v>
      </c>
      <c r="L5" s="12">
        <v>230843294</v>
      </c>
      <c r="M5" s="12">
        <v>426751658</v>
      </c>
      <c r="N5" s="13">
        <f>SUM(B5:M5)</f>
        <v>3929606230</v>
      </c>
    </row>
    <row r="6" spans="1:14" x14ac:dyDescent="0.25">
      <c r="A6" s="11" t="s">
        <v>92</v>
      </c>
      <c r="B6" s="12">
        <v>4953253</v>
      </c>
      <c r="C6" s="12">
        <v>5992471</v>
      </c>
      <c r="D6" s="12">
        <v>11138006</v>
      </c>
      <c r="E6" s="12">
        <v>11991258</v>
      </c>
      <c r="F6" s="12">
        <v>26092413</v>
      </c>
      <c r="G6" s="12">
        <v>13681539</v>
      </c>
      <c r="H6" s="12">
        <v>17303655</v>
      </c>
      <c r="I6" s="12">
        <v>5301996</v>
      </c>
      <c r="J6" s="12">
        <v>10471499</v>
      </c>
      <c r="K6" s="12">
        <v>8776189</v>
      </c>
      <c r="L6" s="12">
        <v>6505100</v>
      </c>
      <c r="M6" s="14">
        <v>6853277</v>
      </c>
      <c r="N6" s="13">
        <f t="shared" ref="N6:N9" si="0">SUM(B6:M6)</f>
        <v>129060656</v>
      </c>
    </row>
    <row r="7" spans="1:14" x14ac:dyDescent="0.25">
      <c r="A7" s="11" t="s">
        <v>93</v>
      </c>
      <c r="B7" s="12">
        <v>78687692</v>
      </c>
      <c r="C7" s="12">
        <v>93682749</v>
      </c>
      <c r="D7" s="12">
        <v>82800342</v>
      </c>
      <c r="E7" s="12">
        <v>40138988</v>
      </c>
      <c r="F7" s="12">
        <v>69756211</v>
      </c>
      <c r="G7" s="12">
        <v>40052901</v>
      </c>
      <c r="H7" s="12">
        <v>45836358</v>
      </c>
      <c r="I7" s="12">
        <v>58677737</v>
      </c>
      <c r="J7" s="12">
        <v>46365958</v>
      </c>
      <c r="K7" s="12">
        <v>47731801</v>
      </c>
      <c r="L7" s="12">
        <v>53083978</v>
      </c>
      <c r="M7" s="14">
        <v>45912021</v>
      </c>
      <c r="N7" s="13">
        <f t="shared" si="0"/>
        <v>702726736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304937970</v>
      </c>
      <c r="C9" s="12">
        <v>439547197</v>
      </c>
      <c r="D9" s="12">
        <v>551666658</v>
      </c>
      <c r="E9" s="12">
        <v>147963040</v>
      </c>
      <c r="F9" s="12">
        <v>88812461</v>
      </c>
      <c r="G9" s="12">
        <v>205031416</v>
      </c>
      <c r="H9" s="12">
        <v>210976749</v>
      </c>
      <c r="I9" s="12">
        <v>276878381</v>
      </c>
      <c r="J9" s="12">
        <v>184866221</v>
      </c>
      <c r="K9" s="12">
        <v>209759347</v>
      </c>
      <c r="L9" s="12">
        <v>331561396</v>
      </c>
      <c r="M9" s="12">
        <v>201491183</v>
      </c>
      <c r="N9" s="13">
        <f t="shared" si="0"/>
        <v>3153492019</v>
      </c>
    </row>
    <row r="10" spans="1:14" s="17" customFormat="1" ht="14.25" x14ac:dyDescent="0.2">
      <c r="A10" s="15" t="s">
        <v>96</v>
      </c>
      <c r="B10" s="16">
        <f>+N3+B5-B6-B7-B8-B9</f>
        <v>748218943</v>
      </c>
      <c r="C10" s="16">
        <f t="shared" ref="C10:M10" si="1">+B10+C5-C6-C7-C8-C9</f>
        <v>649007642</v>
      </c>
      <c r="D10" s="16">
        <f t="shared" si="1"/>
        <v>260375317</v>
      </c>
      <c r="E10" s="16">
        <f t="shared" si="1"/>
        <v>251119243</v>
      </c>
      <c r="F10" s="16">
        <f t="shared" si="1"/>
        <v>300122221</v>
      </c>
      <c r="G10" s="16">
        <f t="shared" si="1"/>
        <v>334479717</v>
      </c>
      <c r="H10" s="16">
        <f t="shared" si="1"/>
        <v>404489440</v>
      </c>
      <c r="I10" s="16">
        <f t="shared" si="1"/>
        <v>306090212</v>
      </c>
      <c r="J10" s="16">
        <f t="shared" si="1"/>
        <v>373098178</v>
      </c>
      <c r="K10" s="16">
        <f t="shared" si="1"/>
        <v>468808495</v>
      </c>
      <c r="L10" s="16">
        <f t="shared" si="1"/>
        <v>308501315</v>
      </c>
      <c r="M10" s="16">
        <f t="shared" si="1"/>
        <v>480996492</v>
      </c>
      <c r="N10" s="13">
        <f>N3+N5-N6-N7-N8-N9</f>
        <v>480996492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7" width="14.7109375" style="5" customWidth="1"/>
    <col min="8" max="8" width="15" style="5" customWidth="1"/>
    <col min="9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139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12249927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8984918</v>
      </c>
      <c r="C5" s="12">
        <v>2205716</v>
      </c>
      <c r="D5" s="12"/>
      <c r="E5" s="12">
        <v>4361674</v>
      </c>
      <c r="F5" s="12">
        <v>4206509</v>
      </c>
      <c r="G5" s="12">
        <v>2938231</v>
      </c>
      <c r="H5" s="12">
        <v>4597047</v>
      </c>
      <c r="I5" s="12">
        <v>6867659</v>
      </c>
      <c r="J5" s="12">
        <v>3021916</v>
      </c>
      <c r="K5" s="12">
        <v>7047047</v>
      </c>
      <c r="L5" s="12">
        <v>3987397</v>
      </c>
      <c r="M5" s="12">
        <v>6430485</v>
      </c>
      <c r="N5" s="13">
        <f>SUM(B5:M5)</f>
        <v>54648599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>
        <v>357535</v>
      </c>
      <c r="D7" s="12"/>
      <c r="E7" s="12">
        <v>826345</v>
      </c>
      <c r="F7" s="12"/>
      <c r="G7" s="12"/>
      <c r="H7" s="12">
        <v>849664</v>
      </c>
      <c r="I7" s="12"/>
      <c r="J7" s="12"/>
      <c r="K7" s="12"/>
      <c r="L7" s="12">
        <v>1702723</v>
      </c>
      <c r="M7" s="14">
        <v>304592</v>
      </c>
      <c r="N7" s="13">
        <f t="shared" si="0"/>
        <v>4040859</v>
      </c>
    </row>
    <row r="8" spans="1:14" x14ac:dyDescent="0.25">
      <c r="A8" s="11" t="s">
        <v>131</v>
      </c>
      <c r="B8" s="12">
        <v>44000</v>
      </c>
      <c r="C8" s="12"/>
      <c r="D8" s="12">
        <v>44000</v>
      </c>
      <c r="E8" s="12"/>
      <c r="F8" s="12">
        <v>22000</v>
      </c>
      <c r="G8" s="12">
        <v>22000</v>
      </c>
      <c r="H8" s="12">
        <v>22000</v>
      </c>
      <c r="I8" s="12">
        <v>44000</v>
      </c>
      <c r="J8" s="12">
        <v>22000</v>
      </c>
      <c r="K8" s="12">
        <v>66000</v>
      </c>
      <c r="L8" s="12">
        <v>22000</v>
      </c>
      <c r="M8" s="14">
        <v>66000</v>
      </c>
      <c r="N8" s="13">
        <f t="shared" si="0"/>
        <v>374000</v>
      </c>
    </row>
    <row r="9" spans="1:14" x14ac:dyDescent="0.25">
      <c r="A9" s="11" t="s">
        <v>95</v>
      </c>
      <c r="B9" s="12">
        <v>11035018</v>
      </c>
      <c r="C9" s="12"/>
      <c r="D9" s="12">
        <v>6260392</v>
      </c>
      <c r="E9" s="12"/>
      <c r="F9" s="12">
        <v>3513329</v>
      </c>
      <c r="G9" s="12">
        <v>4184509</v>
      </c>
      <c r="H9" s="12">
        <v>2916231</v>
      </c>
      <c r="I9" s="12">
        <v>5770205</v>
      </c>
      <c r="J9" s="12">
        <v>1724708</v>
      </c>
      <c r="K9" s="12">
        <v>7128241</v>
      </c>
      <c r="L9" s="12">
        <v>2912219</v>
      </c>
      <c r="M9" s="12">
        <v>6402486</v>
      </c>
      <c r="N9" s="13">
        <f t="shared" si="0"/>
        <v>51847338</v>
      </c>
    </row>
    <row r="10" spans="1:14" s="17" customFormat="1" ht="14.25" x14ac:dyDescent="0.2">
      <c r="A10" s="15" t="s">
        <v>96</v>
      </c>
      <c r="B10" s="16">
        <f>+N3+B5-B6-B7-B8-B9</f>
        <v>10155827</v>
      </c>
      <c r="C10" s="16">
        <f t="shared" ref="C10:M10" si="1">+B10+C5-C6-C7-C8-C9</f>
        <v>12004008</v>
      </c>
      <c r="D10" s="16">
        <f t="shared" si="1"/>
        <v>5699616</v>
      </c>
      <c r="E10" s="16">
        <f t="shared" si="1"/>
        <v>9234945</v>
      </c>
      <c r="F10" s="16">
        <f t="shared" si="1"/>
        <v>9906125</v>
      </c>
      <c r="G10" s="16">
        <f t="shared" si="1"/>
        <v>8637847</v>
      </c>
      <c r="H10" s="16">
        <f t="shared" si="1"/>
        <v>9446999</v>
      </c>
      <c r="I10" s="16">
        <f t="shared" si="1"/>
        <v>10500453</v>
      </c>
      <c r="J10" s="16">
        <f t="shared" si="1"/>
        <v>11775661</v>
      </c>
      <c r="K10" s="16">
        <f t="shared" si="1"/>
        <v>11628467</v>
      </c>
      <c r="L10" s="16">
        <f t="shared" si="1"/>
        <v>10978922</v>
      </c>
      <c r="M10" s="16">
        <f t="shared" si="1"/>
        <v>10636329</v>
      </c>
      <c r="N10" s="13">
        <f>N3+N5-N6-N7-N8-N9</f>
        <v>10636329</v>
      </c>
    </row>
    <row r="11" spans="1:14" x14ac:dyDescent="0.25">
      <c r="I11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111</v>
      </c>
      <c r="C2" s="104"/>
      <c r="D2" s="104"/>
      <c r="E2" s="104"/>
      <c r="F2" s="104"/>
    </row>
    <row r="3" spans="1:14" ht="26.25" customHeight="1" x14ac:dyDescent="0.25">
      <c r="B3" s="5" t="s">
        <v>99</v>
      </c>
      <c r="M3" s="6" t="s">
        <v>97</v>
      </c>
      <c r="N3" s="7">
        <v>270658397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83878487</v>
      </c>
      <c r="C5" s="12">
        <v>38026682</v>
      </c>
      <c r="D5" s="12">
        <v>51114609</v>
      </c>
      <c r="E5" s="12">
        <v>67914331</v>
      </c>
      <c r="F5" s="12">
        <v>76932264</v>
      </c>
      <c r="G5" s="12">
        <v>49824276</v>
      </c>
      <c r="H5" s="12">
        <v>68572468</v>
      </c>
      <c r="I5" s="12">
        <v>70100594</v>
      </c>
      <c r="J5" s="12">
        <v>56561208</v>
      </c>
      <c r="K5" s="12">
        <v>76443353</v>
      </c>
      <c r="L5" s="12">
        <v>65286715</v>
      </c>
      <c r="M5" s="12">
        <v>60358481</v>
      </c>
      <c r="N5" s="13">
        <f>SUM(B5:M5)</f>
        <v>765013468</v>
      </c>
    </row>
    <row r="6" spans="1:14" x14ac:dyDescent="0.25">
      <c r="A6" s="11" t="s">
        <v>92</v>
      </c>
      <c r="B6" s="12"/>
      <c r="C6" s="12">
        <v>6524063</v>
      </c>
      <c r="D6" s="12">
        <v>8683497</v>
      </c>
      <c r="E6" s="12">
        <v>7204919</v>
      </c>
      <c r="F6" s="12">
        <v>32420070</v>
      </c>
      <c r="G6" s="12">
        <v>22853124</v>
      </c>
      <c r="H6" s="12">
        <v>22007079</v>
      </c>
      <c r="I6" s="12">
        <v>12428294</v>
      </c>
      <c r="J6" s="12">
        <v>7298072</v>
      </c>
      <c r="K6" s="12">
        <v>8085817</v>
      </c>
      <c r="L6" s="12">
        <v>13591406</v>
      </c>
      <c r="M6" s="14">
        <v>29819982</v>
      </c>
      <c r="N6" s="13">
        <f t="shared" ref="N6:N9" si="0">SUM(B6:M6)</f>
        <v>170916323</v>
      </c>
    </row>
    <row r="7" spans="1:14" x14ac:dyDescent="0.25">
      <c r="A7" s="11" t="s">
        <v>93</v>
      </c>
      <c r="B7" s="12"/>
      <c r="C7" s="12"/>
      <c r="D7" s="12">
        <v>9652200</v>
      </c>
      <c r="E7" s="12"/>
      <c r="F7" s="12"/>
      <c r="G7" s="12"/>
      <c r="H7" s="12"/>
      <c r="I7" s="12">
        <v>21414720</v>
      </c>
      <c r="J7" s="12"/>
      <c r="K7" s="12"/>
      <c r="L7" s="12">
        <v>12464197</v>
      </c>
      <c r="M7" s="14"/>
      <c r="N7" s="13">
        <f t="shared" si="0"/>
        <v>43531117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155806519</v>
      </c>
      <c r="C9" s="12"/>
      <c r="D9" s="12">
        <v>54430380</v>
      </c>
      <c r="E9" s="12"/>
      <c r="F9" s="12">
        <v>75883130</v>
      </c>
      <c r="G9" s="12"/>
      <c r="H9" s="12">
        <v>33639619</v>
      </c>
      <c r="I9" s="12">
        <v>88365691</v>
      </c>
      <c r="J9" s="12"/>
      <c r="K9" s="12">
        <v>98029009</v>
      </c>
      <c r="L9" s="12">
        <v>64447255</v>
      </c>
      <c r="M9" s="12"/>
      <c r="N9" s="13">
        <f t="shared" si="0"/>
        <v>570601603</v>
      </c>
    </row>
    <row r="10" spans="1:14" s="17" customFormat="1" ht="14.25" x14ac:dyDescent="0.2">
      <c r="A10" s="15" t="s">
        <v>96</v>
      </c>
      <c r="B10" s="16">
        <f>+N3+B5-B6-B7-B8-B9</f>
        <v>198730365</v>
      </c>
      <c r="C10" s="16">
        <f t="shared" ref="C10:M10" si="1">+B10+C5-C6-C7-C8-C9</f>
        <v>230232984</v>
      </c>
      <c r="D10" s="16">
        <f t="shared" si="1"/>
        <v>208581516</v>
      </c>
      <c r="E10" s="16">
        <f t="shared" si="1"/>
        <v>269290928</v>
      </c>
      <c r="F10" s="16">
        <f t="shared" si="1"/>
        <v>237919992</v>
      </c>
      <c r="G10" s="16">
        <f t="shared" si="1"/>
        <v>264891144</v>
      </c>
      <c r="H10" s="16">
        <f t="shared" si="1"/>
        <v>277816914</v>
      </c>
      <c r="I10" s="16">
        <f t="shared" si="1"/>
        <v>225708803</v>
      </c>
      <c r="J10" s="16">
        <f t="shared" si="1"/>
        <v>274971939</v>
      </c>
      <c r="K10" s="16">
        <f t="shared" si="1"/>
        <v>245300466</v>
      </c>
      <c r="L10" s="16">
        <f t="shared" si="1"/>
        <v>220084323</v>
      </c>
      <c r="M10" s="16">
        <f t="shared" si="1"/>
        <v>250622822</v>
      </c>
      <c r="N10" s="13">
        <f>N3+N5-N6-N7-N8-N9</f>
        <v>250622822</v>
      </c>
    </row>
    <row r="13" spans="1:14" x14ac:dyDescent="0.25">
      <c r="K13" s="76"/>
      <c r="L13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25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17488726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>
        <v>7842701</v>
      </c>
      <c r="D5" s="12">
        <v>3514979</v>
      </c>
      <c r="E5" s="12">
        <v>6750130</v>
      </c>
      <c r="F5" s="12">
        <v>2872022</v>
      </c>
      <c r="G5" s="12">
        <v>1789295</v>
      </c>
      <c r="H5" s="12">
        <v>4907746</v>
      </c>
      <c r="I5" s="12">
        <v>5340346</v>
      </c>
      <c r="J5" s="12">
        <v>2475495</v>
      </c>
      <c r="K5" s="12">
        <v>2475495</v>
      </c>
      <c r="L5" s="12">
        <v>2078968</v>
      </c>
      <c r="M5" s="12">
        <v>6045111</v>
      </c>
      <c r="N5" s="13">
        <f>SUM(B5:M5)</f>
        <v>46092288</v>
      </c>
    </row>
    <row r="6" spans="1:14" x14ac:dyDescent="0.25">
      <c r="A6" s="11" t="s">
        <v>92</v>
      </c>
      <c r="B6" s="12"/>
      <c r="C6" s="12"/>
      <c r="D6" s="12">
        <v>638382</v>
      </c>
      <c r="E6" s="12"/>
      <c r="F6" s="12">
        <v>1246743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1885125</v>
      </c>
    </row>
    <row r="7" spans="1:14" x14ac:dyDescent="0.25">
      <c r="A7" s="11" t="s">
        <v>93</v>
      </c>
      <c r="B7" s="12"/>
      <c r="C7" s="12">
        <v>549118</v>
      </c>
      <c r="D7" s="12"/>
      <c r="E7" s="12"/>
      <c r="F7" s="12">
        <v>791541</v>
      </c>
      <c r="G7" s="12"/>
      <c r="H7" s="12"/>
      <c r="I7" s="12">
        <v>750589</v>
      </c>
      <c r="J7" s="12"/>
      <c r="K7" s="12"/>
      <c r="L7" s="12">
        <v>1214218</v>
      </c>
      <c r="M7" s="14">
        <v>158811</v>
      </c>
      <c r="N7" s="13">
        <f t="shared" si="0"/>
        <v>3464277</v>
      </c>
    </row>
    <row r="8" spans="1:14" x14ac:dyDescent="0.25">
      <c r="A8" s="11" t="s">
        <v>131</v>
      </c>
      <c r="B8" s="12"/>
      <c r="C8" s="12"/>
      <c r="D8" s="12"/>
      <c r="E8" s="12">
        <v>11000</v>
      </c>
      <c r="F8" s="12"/>
      <c r="G8" s="12"/>
      <c r="H8" s="12"/>
      <c r="I8" s="12"/>
      <c r="J8" s="12"/>
      <c r="K8" s="12">
        <v>11000</v>
      </c>
      <c r="L8" s="12">
        <v>11000</v>
      </c>
      <c r="M8" s="14"/>
      <c r="N8" s="13">
        <f t="shared" si="0"/>
        <v>33000</v>
      </c>
    </row>
    <row r="9" spans="1:14" x14ac:dyDescent="0.25">
      <c r="A9" s="11" t="s">
        <v>95</v>
      </c>
      <c r="B9" s="12">
        <v>4904362</v>
      </c>
      <c r="C9" s="12"/>
      <c r="D9" s="12">
        <v>12035246</v>
      </c>
      <c r="E9" s="12">
        <v>2865597</v>
      </c>
      <c r="F9" s="12">
        <v>1392768</v>
      </c>
      <c r="G9" s="12"/>
      <c r="H9" s="12"/>
      <c r="I9" s="12">
        <v>6355116</v>
      </c>
      <c r="J9" s="12"/>
      <c r="K9" s="12">
        <v>1614279</v>
      </c>
      <c r="L9" s="12">
        <v>9486503</v>
      </c>
      <c r="M9" s="12">
        <v>7029958</v>
      </c>
      <c r="N9" s="13">
        <f t="shared" si="0"/>
        <v>45683829</v>
      </c>
    </row>
    <row r="10" spans="1:14" s="17" customFormat="1" ht="14.25" x14ac:dyDescent="0.2">
      <c r="A10" s="15" t="s">
        <v>96</v>
      </c>
      <c r="B10" s="16">
        <f>+N3+B5-B6-B7-B8-B9</f>
        <v>12584364</v>
      </c>
      <c r="C10" s="16">
        <f t="shared" ref="C10:M10" si="1">+B10+C5-C6-C7-C8-C9</f>
        <v>19877947</v>
      </c>
      <c r="D10" s="16">
        <f t="shared" si="1"/>
        <v>10719298</v>
      </c>
      <c r="E10" s="16">
        <f t="shared" si="1"/>
        <v>14592831</v>
      </c>
      <c r="F10" s="16">
        <f t="shared" si="1"/>
        <v>14033801</v>
      </c>
      <c r="G10" s="16">
        <f t="shared" si="1"/>
        <v>15823096</v>
      </c>
      <c r="H10" s="16">
        <f t="shared" si="1"/>
        <v>20730842</v>
      </c>
      <c r="I10" s="16">
        <f t="shared" si="1"/>
        <v>18965483</v>
      </c>
      <c r="J10" s="16">
        <f t="shared" si="1"/>
        <v>21440978</v>
      </c>
      <c r="K10" s="16">
        <f t="shared" si="1"/>
        <v>22291194</v>
      </c>
      <c r="L10" s="16">
        <f t="shared" si="1"/>
        <v>13658441</v>
      </c>
      <c r="M10" s="16">
        <f t="shared" si="1"/>
        <v>12514783</v>
      </c>
      <c r="N10" s="13">
        <f>N3+N5-N6-N7-N8-N9</f>
        <v>12514783</v>
      </c>
    </row>
    <row r="13" spans="1:14" x14ac:dyDescent="0.25">
      <c r="J13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6" width="14.42578125" style="5" customWidth="1"/>
    <col min="7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26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18374758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4004856</v>
      </c>
      <c r="C5" s="12">
        <v>17546122</v>
      </c>
      <c r="D5" s="12">
        <v>8320179</v>
      </c>
      <c r="E5" s="12">
        <v>8100368</v>
      </c>
      <c r="F5" s="12">
        <v>8827747</v>
      </c>
      <c r="G5" s="12">
        <v>5636347</v>
      </c>
      <c r="H5" s="12">
        <v>10410822</v>
      </c>
      <c r="I5" s="12">
        <v>10299414</v>
      </c>
      <c r="J5" s="12">
        <v>5849583</v>
      </c>
      <c r="K5" s="12">
        <v>4574831</v>
      </c>
      <c r="L5" s="12">
        <v>7818627</v>
      </c>
      <c r="M5" s="12">
        <v>9258181</v>
      </c>
      <c r="N5" s="13">
        <f>SUM(B5:M5)</f>
        <v>100647077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>
        <v>2653618</v>
      </c>
      <c r="H6" s="12"/>
      <c r="I6" s="12"/>
      <c r="J6" s="12"/>
      <c r="K6" s="12">
        <v>2459972</v>
      </c>
      <c r="L6" s="12">
        <v>682106</v>
      </c>
      <c r="M6" s="14">
        <v>773711</v>
      </c>
      <c r="N6" s="13">
        <f t="shared" ref="N6:N9" si="0">SUM(B6:M6)</f>
        <v>6569407</v>
      </c>
    </row>
    <row r="7" spans="1:14" x14ac:dyDescent="0.25">
      <c r="A7" s="11" t="s">
        <v>93</v>
      </c>
      <c r="B7" s="12"/>
      <c r="C7" s="12">
        <v>602161</v>
      </c>
      <c r="D7" s="12"/>
      <c r="E7" s="12">
        <v>2205764</v>
      </c>
      <c r="F7" s="12"/>
      <c r="G7" s="12"/>
      <c r="H7" s="12"/>
      <c r="I7" s="12">
        <v>1470269</v>
      </c>
      <c r="J7" s="12"/>
      <c r="K7" s="12"/>
      <c r="L7" s="12">
        <v>2317186</v>
      </c>
      <c r="M7" s="14">
        <v>545151</v>
      </c>
      <c r="N7" s="13">
        <f t="shared" si="0"/>
        <v>7140531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 x14ac:dyDescent="0.25">
      <c r="A9" s="11" t="s">
        <v>95</v>
      </c>
      <c r="B9" s="12">
        <v>10220099</v>
      </c>
      <c r="C9" s="12">
        <v>3177403</v>
      </c>
      <c r="D9" s="12">
        <v>6367576</v>
      </c>
      <c r="E9" s="12">
        <v>10409785</v>
      </c>
      <c r="F9" s="12">
        <v>6942948</v>
      </c>
      <c r="G9" s="12">
        <v>8320179</v>
      </c>
      <c r="H9" s="12">
        <v>8827747</v>
      </c>
      <c r="I9" s="51">
        <v>3151008</v>
      </c>
      <c r="J9" s="12">
        <v>14023057</v>
      </c>
      <c r="K9" s="12"/>
      <c r="L9" s="12">
        <v>10398213</v>
      </c>
      <c r="M9" s="12">
        <v>7715936</v>
      </c>
      <c r="N9" s="13">
        <f t="shared" si="0"/>
        <v>89553951</v>
      </c>
    </row>
    <row r="10" spans="1:14" s="17" customFormat="1" ht="14.25" x14ac:dyDescent="0.2">
      <c r="A10" s="15" t="s">
        <v>96</v>
      </c>
      <c r="B10" s="16">
        <f>+N3+B5-B6-B7-B8-B9</f>
        <v>12159515</v>
      </c>
      <c r="C10" s="16">
        <f t="shared" ref="C10:M10" si="1">+B10+C5-C6-C7-C8-C9</f>
        <v>25926073</v>
      </c>
      <c r="D10" s="16">
        <f t="shared" si="1"/>
        <v>27878676</v>
      </c>
      <c r="E10" s="16">
        <f t="shared" si="1"/>
        <v>23363495</v>
      </c>
      <c r="F10" s="16">
        <f t="shared" si="1"/>
        <v>25248294</v>
      </c>
      <c r="G10" s="16">
        <f t="shared" si="1"/>
        <v>19910844</v>
      </c>
      <c r="H10" s="16">
        <f t="shared" si="1"/>
        <v>21493919</v>
      </c>
      <c r="I10" s="16">
        <f t="shared" si="1"/>
        <v>27172056</v>
      </c>
      <c r="J10" s="16">
        <f t="shared" si="1"/>
        <v>18998582</v>
      </c>
      <c r="K10" s="16">
        <f t="shared" si="1"/>
        <v>21113441</v>
      </c>
      <c r="L10" s="16">
        <f t="shared" si="1"/>
        <v>15534563</v>
      </c>
      <c r="M10" s="16">
        <f t="shared" si="1"/>
        <v>15757946</v>
      </c>
      <c r="N10" s="13">
        <f>N3+N5-N6-N7-N8-N9</f>
        <v>15757946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 x14ac:dyDescent="0.25">
      <c r="L1" s="103" t="s">
        <v>106</v>
      </c>
      <c r="M1" s="103"/>
      <c r="N1" s="103"/>
    </row>
    <row r="2" spans="1:15" ht="18.75" x14ac:dyDescent="0.25">
      <c r="B2" s="104" t="s">
        <v>27</v>
      </c>
      <c r="C2" s="104"/>
      <c r="D2" s="104"/>
      <c r="E2" s="104"/>
      <c r="F2" s="104"/>
    </row>
    <row r="3" spans="1:15" ht="29.25" x14ac:dyDescent="0.25">
      <c r="B3" s="5" t="s">
        <v>99</v>
      </c>
      <c r="M3" s="6" t="s">
        <v>97</v>
      </c>
      <c r="N3" s="7">
        <v>48019402.025999993</v>
      </c>
    </row>
    <row r="4" spans="1:15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5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5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5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  <c r="O7" s="46">
        <v>-0.03</v>
      </c>
    </row>
    <row r="8" spans="1:15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95</v>
      </c>
      <c r="B9" s="12"/>
      <c r="C9" s="12"/>
      <c r="D9" s="12"/>
      <c r="E9" s="12">
        <v>10000000</v>
      </c>
      <c r="F9" s="12">
        <v>5000000</v>
      </c>
      <c r="G9" s="12">
        <v>3000000</v>
      </c>
      <c r="H9" s="12"/>
      <c r="I9" s="12"/>
      <c r="J9" s="12"/>
      <c r="K9" s="12"/>
      <c r="L9" s="12"/>
      <c r="M9" s="12"/>
      <c r="N9" s="13">
        <f t="shared" si="0"/>
        <v>18000000</v>
      </c>
    </row>
    <row r="10" spans="1:15" s="17" customFormat="1" ht="14.25" x14ac:dyDescent="0.2">
      <c r="A10" s="15" t="s">
        <v>96</v>
      </c>
      <c r="B10" s="16">
        <f>N3+B5-B6-B7-B8-B9</f>
        <v>48019402.025999993</v>
      </c>
      <c r="C10" s="16">
        <f t="shared" ref="C10:H10" si="1">B10+C5-C6-C7-C8-C9</f>
        <v>48019402.025999993</v>
      </c>
      <c r="D10" s="16">
        <f t="shared" si="1"/>
        <v>48019402.025999993</v>
      </c>
      <c r="E10" s="16">
        <f t="shared" si="1"/>
        <v>38019402.025999993</v>
      </c>
      <c r="F10" s="16">
        <f t="shared" si="1"/>
        <v>33019402.025999993</v>
      </c>
      <c r="G10" s="16">
        <f t="shared" si="1"/>
        <v>30019402.025999993</v>
      </c>
      <c r="H10" s="16">
        <f t="shared" si="1"/>
        <v>30019402.025999993</v>
      </c>
      <c r="I10" s="16">
        <f t="shared" ref="I10" si="2">H10+I5-I6-I7-I8-I9</f>
        <v>30019402.025999993</v>
      </c>
      <c r="J10" s="16">
        <f t="shared" ref="J10" si="3">I10+J5-J6-J7-J8-J9</f>
        <v>30019402.025999993</v>
      </c>
      <c r="K10" s="16">
        <f t="shared" ref="K10:L10" si="4">J10+K5-K6-K7-K8-K9</f>
        <v>30019402.025999993</v>
      </c>
      <c r="L10" s="16">
        <f t="shared" si="4"/>
        <v>30019402.025999993</v>
      </c>
      <c r="M10" s="16"/>
      <c r="N10" s="13">
        <f>N3+N5-N6-N7-N8-N9</f>
        <v>30019402.025999993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1" width="16.7109375" style="5" customWidth="1"/>
    <col min="12" max="12" width="17.7109375" style="5" customWidth="1"/>
    <col min="13" max="14" width="16.7109375" style="5" customWidth="1"/>
    <col min="15" max="16384" width="9.140625" style="1"/>
  </cols>
  <sheetData>
    <row r="1" spans="1:14" ht="15.75" x14ac:dyDescent="0.25">
      <c r="A1" s="5" t="s">
        <v>175</v>
      </c>
      <c r="L1" s="103" t="s">
        <v>106</v>
      </c>
      <c r="M1" s="103"/>
      <c r="N1" s="103"/>
    </row>
    <row r="2" spans="1:14" ht="18.75" customHeight="1" x14ac:dyDescent="0.25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29.25" x14ac:dyDescent="0.25">
      <c r="B3" s="5" t="s">
        <v>99</v>
      </c>
      <c r="M3" s="6" t="s">
        <v>153</v>
      </c>
      <c r="N3" s="7">
        <v>10835854794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102</v>
      </c>
      <c r="B5" s="12">
        <v>9019076216</v>
      </c>
      <c r="C5" s="12">
        <v>5277949213</v>
      </c>
      <c r="D5" s="12">
        <v>4453915355</v>
      </c>
      <c r="E5" s="12">
        <v>6503549960</v>
      </c>
      <c r="F5" s="12">
        <v>7667684385</v>
      </c>
      <c r="G5" s="12">
        <v>7063055490</v>
      </c>
      <c r="H5" s="12">
        <v>9652967628</v>
      </c>
      <c r="I5" s="12">
        <v>10045554789</v>
      </c>
      <c r="J5" s="12">
        <v>9360435315</v>
      </c>
      <c r="K5" s="12">
        <v>11521402753</v>
      </c>
      <c r="L5" s="12">
        <v>7192679275</v>
      </c>
      <c r="M5" s="12">
        <v>7465997319</v>
      </c>
      <c r="N5" s="13">
        <f>SUM(B5:M5)</f>
        <v>95224267698</v>
      </c>
    </row>
    <row r="6" spans="1:14" x14ac:dyDescent="0.25">
      <c r="A6" s="11" t="s">
        <v>92</v>
      </c>
      <c r="B6" s="12">
        <v>1075654405</v>
      </c>
      <c r="C6" s="12">
        <v>1106812505</v>
      </c>
      <c r="D6" s="12">
        <v>1374921440</v>
      </c>
      <c r="E6" s="12">
        <v>1243913186</v>
      </c>
      <c r="F6" s="12">
        <v>1811945554</v>
      </c>
      <c r="G6" s="12">
        <v>1737002539</v>
      </c>
      <c r="H6" s="12">
        <v>1931729658</v>
      </c>
      <c r="I6" s="12">
        <v>1853810643</v>
      </c>
      <c r="J6" s="12">
        <v>1282242269</v>
      </c>
      <c r="K6" s="12">
        <v>1544081685</v>
      </c>
      <c r="L6" s="12">
        <v>1525855814</v>
      </c>
      <c r="M6" s="14">
        <v>1927568982</v>
      </c>
      <c r="N6" s="13">
        <f t="shared" ref="N6:N9" si="0">SUM(B6:M6)</f>
        <v>18415538680</v>
      </c>
    </row>
    <row r="7" spans="1:14" x14ac:dyDescent="0.25">
      <c r="A7" s="11" t="s">
        <v>103</v>
      </c>
      <c r="B7" s="12">
        <v>83675817</v>
      </c>
      <c r="C7" s="12">
        <v>57292055</v>
      </c>
      <c r="D7" s="12">
        <v>110739471</v>
      </c>
      <c r="E7" s="12">
        <v>42644374</v>
      </c>
      <c r="F7" s="12">
        <v>72174188</v>
      </c>
      <c r="G7" s="12">
        <v>78881687</v>
      </c>
      <c r="H7" s="12">
        <v>75715593</v>
      </c>
      <c r="I7" s="12">
        <v>98840483</v>
      </c>
      <c r="J7" s="12">
        <v>101193195</v>
      </c>
      <c r="K7" s="12">
        <v>129221194</v>
      </c>
      <c r="L7" s="12">
        <v>137709096</v>
      </c>
      <c r="M7" s="14">
        <v>735337411</v>
      </c>
      <c r="N7" s="13">
        <f t="shared" si="0"/>
        <v>1723424564</v>
      </c>
    </row>
    <row r="8" spans="1:14" x14ac:dyDescent="0.25">
      <c r="A8" s="11" t="s">
        <v>104</v>
      </c>
      <c r="B8" s="12">
        <v>778437134</v>
      </c>
      <c r="C8" s="12">
        <v>542092465</v>
      </c>
      <c r="D8" s="12">
        <v>1002995690</v>
      </c>
      <c r="E8" s="12">
        <v>429030277</v>
      </c>
      <c r="F8" s="12">
        <v>655561577</v>
      </c>
      <c r="G8" s="12">
        <v>727789327</v>
      </c>
      <c r="H8" s="12">
        <v>702060470</v>
      </c>
      <c r="I8" s="12">
        <v>922391296</v>
      </c>
      <c r="J8" s="12">
        <v>921702840</v>
      </c>
      <c r="K8" s="12">
        <v>1168359721</v>
      </c>
      <c r="L8" s="12">
        <v>877203600</v>
      </c>
      <c r="M8" s="14">
        <v>811215285</v>
      </c>
      <c r="N8" s="13">
        <f t="shared" si="0"/>
        <v>9538839682</v>
      </c>
    </row>
    <row r="9" spans="1:14" x14ac:dyDescent="0.25">
      <c r="A9" s="11" t="s">
        <v>95</v>
      </c>
      <c r="B9" s="12">
        <v>4338945473</v>
      </c>
      <c r="C9" s="12">
        <v>4568946937</v>
      </c>
      <c r="D9" s="12">
        <v>6187256408</v>
      </c>
      <c r="E9" s="12">
        <v>5618059882</v>
      </c>
      <c r="F9" s="12">
        <v>2830909530</v>
      </c>
      <c r="G9" s="12">
        <v>4557287048</v>
      </c>
      <c r="H9" s="12">
        <v>6252917714</v>
      </c>
      <c r="I9" s="12">
        <v>6252917714</v>
      </c>
      <c r="J9" s="12">
        <v>5687215725</v>
      </c>
      <c r="K9" s="12">
        <v>6018798597</v>
      </c>
      <c r="L9" s="12">
        <v>10062946407</v>
      </c>
      <c r="M9" s="12">
        <v>6373205959</v>
      </c>
      <c r="N9" s="13">
        <f t="shared" si="0"/>
        <v>68749407394</v>
      </c>
    </row>
    <row r="10" spans="1:14" s="17" customFormat="1" ht="14.25" x14ac:dyDescent="0.2">
      <c r="A10" s="15" t="s">
        <v>96</v>
      </c>
      <c r="B10" s="16">
        <f>N3+B5-B6-B7-B8-B9</f>
        <v>13578218181</v>
      </c>
      <c r="C10" s="16">
        <f>B10+C5-C6-C7-C8-C9</f>
        <v>12581023432</v>
      </c>
      <c r="D10" s="16">
        <f t="shared" ref="D10" si="1">C10+D5-D6-D7-D8-D9</f>
        <v>8359025778</v>
      </c>
      <c r="E10" s="16">
        <f t="shared" ref="E10" si="2">D10+E5-E6-E7-E8-E9</f>
        <v>7528928019</v>
      </c>
      <c r="F10" s="16">
        <f t="shared" ref="F10" si="3">E10+F5-F6-F7-F8-F9</f>
        <v>9826021555</v>
      </c>
      <c r="G10" s="16">
        <f t="shared" ref="G10:H10" si="4">F10+G5-G6-G7-G8-G9</f>
        <v>9788116444</v>
      </c>
      <c r="H10" s="16">
        <f t="shared" si="4"/>
        <v>10478660637</v>
      </c>
      <c r="I10" s="16">
        <f t="shared" ref="I10" si="5">H10+I5-I6-I7-I8-I9</f>
        <v>11396255290</v>
      </c>
      <c r="J10" s="16">
        <f t="shared" ref="J10" si="6">I10+J5-J6-J7-J8-J9</f>
        <v>12764336576</v>
      </c>
      <c r="K10" s="16">
        <f t="shared" ref="K10:L10" si="7">J10+K5-K6-K7-K8-K9</f>
        <v>15425278132</v>
      </c>
      <c r="L10" s="16">
        <f t="shared" si="7"/>
        <v>10014242490</v>
      </c>
      <c r="M10" s="16">
        <v>11486355135</v>
      </c>
      <c r="N10" s="13">
        <f>M10</f>
        <v>11486355135</v>
      </c>
    </row>
    <row r="11" spans="1:14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29"/>
      <c r="M11" s="29"/>
    </row>
    <row r="12" spans="1:14" x14ac:dyDescent="0.25">
      <c r="D12" s="62"/>
      <c r="G12" s="29"/>
      <c r="J12" s="29"/>
      <c r="L12" s="1"/>
      <c r="M12" s="62"/>
      <c r="N12" s="1"/>
    </row>
    <row r="13" spans="1:14" x14ac:dyDescent="0.25">
      <c r="D13" s="62"/>
      <c r="H13" s="62"/>
      <c r="M13" s="62"/>
      <c r="N13" s="1"/>
    </row>
    <row r="14" spans="1:14" x14ac:dyDescent="0.25">
      <c r="D14" s="62"/>
      <c r="M14" s="62"/>
      <c r="N14" s="1"/>
    </row>
    <row r="15" spans="1:14" x14ac:dyDescent="0.25">
      <c r="D15" s="62"/>
      <c r="M15" s="62"/>
    </row>
    <row r="16" spans="1:14" x14ac:dyDescent="0.25">
      <c r="D16" s="62"/>
      <c r="M16" s="62"/>
    </row>
    <row r="17" spans="4:13" x14ac:dyDescent="0.25">
      <c r="D17" s="62"/>
      <c r="M17" s="29"/>
    </row>
    <row r="18" spans="4:13" x14ac:dyDescent="0.25">
      <c r="D18" s="62"/>
      <c r="M18" s="29"/>
    </row>
    <row r="22" spans="4:13" x14ac:dyDescent="0.25">
      <c r="I22" s="93"/>
    </row>
    <row r="23" spans="4:13" x14ac:dyDescent="0.25">
      <c r="I23" s="93"/>
    </row>
    <row r="24" spans="4:13" x14ac:dyDescent="0.25">
      <c r="I24" s="93"/>
    </row>
    <row r="25" spans="4:13" x14ac:dyDescent="0.25">
      <c r="I25" s="93"/>
    </row>
    <row r="26" spans="4:13" x14ac:dyDescent="0.25">
      <c r="G26" s="18"/>
    </row>
  </sheetData>
  <mergeCells count="2">
    <mergeCell ref="L1:N1"/>
    <mergeCell ref="A2:L2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2" width="15" style="5" customWidth="1"/>
    <col min="3" max="4" width="15.42578125" style="5" bestFit="1" customWidth="1"/>
    <col min="5" max="5" width="15" style="5" customWidth="1"/>
    <col min="6" max="14" width="15.42578125" style="5" customWidth="1"/>
    <col min="15" max="15" width="9.140625" style="1"/>
    <col min="16" max="16" width="13.7109375" style="1" hidden="1" customWidth="1"/>
    <col min="17" max="17" width="16.85546875" style="1" bestFit="1" customWidth="1"/>
    <col min="18" max="18" width="12.28515625" style="1" bestFit="1" customWidth="1"/>
    <col min="19" max="16384" width="9.140625" style="1"/>
  </cols>
  <sheetData>
    <row r="1" spans="1:18" ht="15.75" x14ac:dyDescent="0.25">
      <c r="L1" s="103" t="s">
        <v>106</v>
      </c>
      <c r="M1" s="103"/>
      <c r="N1" s="103"/>
    </row>
    <row r="2" spans="1:18" ht="18.75" x14ac:dyDescent="0.25">
      <c r="B2" s="104" t="s">
        <v>28</v>
      </c>
      <c r="C2" s="104"/>
      <c r="D2" s="104"/>
      <c r="E2" s="104"/>
      <c r="F2" s="104"/>
    </row>
    <row r="3" spans="1:18" ht="29.25" x14ac:dyDescent="0.25">
      <c r="B3" s="5" t="s">
        <v>99</v>
      </c>
      <c r="M3" s="6" t="s">
        <v>97</v>
      </c>
      <c r="N3" s="43">
        <v>26941252</v>
      </c>
      <c r="P3" s="43">
        <v>774645622</v>
      </c>
      <c r="Q3" s="84" t="s">
        <v>167</v>
      </c>
    </row>
    <row r="4" spans="1:18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  <c r="R4" s="78"/>
    </row>
    <row r="5" spans="1:18" x14ac:dyDescent="0.25">
      <c r="A5" s="11" t="s">
        <v>91</v>
      </c>
      <c r="B5" s="12">
        <v>210200109</v>
      </c>
      <c r="C5" s="12">
        <v>3214202</v>
      </c>
      <c r="D5" s="12">
        <v>79599454</v>
      </c>
      <c r="E5" s="12">
        <v>132872094</v>
      </c>
      <c r="F5" s="12">
        <v>172720487</v>
      </c>
      <c r="G5" s="12">
        <v>163820681</v>
      </c>
      <c r="H5" s="12">
        <v>122169745</v>
      </c>
      <c r="I5" s="12">
        <v>176089487</v>
      </c>
      <c r="J5" s="12">
        <v>151354321</v>
      </c>
      <c r="K5" s="12">
        <v>154892889</v>
      </c>
      <c r="L5" s="12">
        <v>176101691</v>
      </c>
      <c r="M5" s="12">
        <v>200764545</v>
      </c>
      <c r="N5" s="13">
        <f>SUM(B5:M5)</f>
        <v>1743799705</v>
      </c>
    </row>
    <row r="6" spans="1:18" x14ac:dyDescent="0.25">
      <c r="A6" s="11" t="s">
        <v>92</v>
      </c>
      <c r="B6" s="12">
        <v>11512222</v>
      </c>
      <c r="C6" s="12">
        <v>9544514</v>
      </c>
      <c r="D6" s="12">
        <v>4879215</v>
      </c>
      <c r="E6" s="12">
        <v>8854768</v>
      </c>
      <c r="F6" s="12">
        <v>12988243</v>
      </c>
      <c r="G6" s="12">
        <v>14316908</v>
      </c>
      <c r="H6" s="12">
        <v>17117982</v>
      </c>
      <c r="I6" s="12">
        <v>10290337</v>
      </c>
      <c r="J6" s="12"/>
      <c r="K6" s="12">
        <f>13070186+5533039</f>
        <v>18603225</v>
      </c>
      <c r="L6" s="12">
        <v>12456394</v>
      </c>
      <c r="M6" s="14">
        <v>9643407</v>
      </c>
      <c r="N6" s="13">
        <f t="shared" ref="N6:N9" si="0">SUM(B6:M6)</f>
        <v>130207215</v>
      </c>
    </row>
    <row r="7" spans="1:18" x14ac:dyDescent="0.25">
      <c r="A7" s="11" t="s">
        <v>93</v>
      </c>
      <c r="B7" s="12"/>
      <c r="C7" s="12"/>
      <c r="D7" s="12">
        <v>0</v>
      </c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8" x14ac:dyDescent="0.25">
      <c r="A8" s="11" t="s">
        <v>133</v>
      </c>
      <c r="B8" s="12">
        <v>3428009</v>
      </c>
      <c r="C8" s="12">
        <f>3%*(195428571-8837513)</f>
        <v>5597731.7400000002</v>
      </c>
      <c r="D8" s="12">
        <v>0</v>
      </c>
      <c r="E8" s="12">
        <v>1918880</v>
      </c>
      <c r="F8" s="12">
        <v>3330107</v>
      </c>
      <c r="G8" s="12">
        <v>4400099</v>
      </c>
      <c r="H8" s="12">
        <v>4075075</v>
      </c>
      <c r="I8" s="12">
        <v>3107761</v>
      </c>
      <c r="J8" s="12">
        <v>4891374</v>
      </c>
      <c r="K8" s="12">
        <v>3687523</v>
      </c>
      <c r="L8" s="12">
        <v>3956569</v>
      </c>
      <c r="M8" s="14">
        <v>4623841</v>
      </c>
      <c r="N8" s="13">
        <f t="shared" si="0"/>
        <v>43016969.740000002</v>
      </c>
    </row>
    <row r="9" spans="1:18" x14ac:dyDescent="0.25">
      <c r="A9" s="11" t="s">
        <v>95</v>
      </c>
      <c r="B9" s="12">
        <v>119980317</v>
      </c>
      <c r="C9" s="12">
        <v>115920612</v>
      </c>
      <c r="D9" s="12">
        <v>0</v>
      </c>
      <c r="E9" s="12">
        <v>67160798</v>
      </c>
      <c r="F9" s="12">
        <v>87711701</v>
      </c>
      <c r="G9" s="12">
        <v>154003482</v>
      </c>
      <c r="H9" s="12">
        <v>142627624</v>
      </c>
      <c r="I9" s="12">
        <v>108771647</v>
      </c>
      <c r="J9" s="12">
        <v>171198112</v>
      </c>
      <c r="K9" s="12">
        <v>129063293</v>
      </c>
      <c r="L9" s="12">
        <v>138479920</v>
      </c>
      <c r="M9" s="12">
        <v>161834443</v>
      </c>
      <c r="N9" s="13">
        <f t="shared" si="0"/>
        <v>1396751949</v>
      </c>
    </row>
    <row r="10" spans="1:18" s="17" customFormat="1" x14ac:dyDescent="0.25">
      <c r="A10" s="15" t="s">
        <v>96</v>
      </c>
      <c r="B10" s="16">
        <f>+N3+B5-B6-B7-B8-B9</f>
        <v>102220813</v>
      </c>
      <c r="C10" s="16">
        <f t="shared" ref="C10:M10" si="1">+B10+C5-C6-C7-C8-C9</f>
        <v>-25627842.739999995</v>
      </c>
      <c r="D10" s="16">
        <f t="shared" si="1"/>
        <v>49092396.260000005</v>
      </c>
      <c r="E10" s="16">
        <f t="shared" si="1"/>
        <v>104030044.25999999</v>
      </c>
      <c r="F10" s="16">
        <f t="shared" si="1"/>
        <v>172720480.25999999</v>
      </c>
      <c r="G10" s="16">
        <f t="shared" si="1"/>
        <v>163820672.25999999</v>
      </c>
      <c r="H10" s="16">
        <f t="shared" si="1"/>
        <v>122169736.25999999</v>
      </c>
      <c r="I10" s="16">
        <f t="shared" si="1"/>
        <v>176089478.25999999</v>
      </c>
      <c r="J10" s="16">
        <f t="shared" si="1"/>
        <v>151354313.25999999</v>
      </c>
      <c r="K10" s="16">
        <f t="shared" si="1"/>
        <v>154893161.25999999</v>
      </c>
      <c r="L10" s="16">
        <f t="shared" si="1"/>
        <v>176101969.25999999</v>
      </c>
      <c r="M10" s="16">
        <f t="shared" si="1"/>
        <v>200764823.25999999</v>
      </c>
      <c r="N10" s="13">
        <f>N3+N5-N6-N7-N8-N9</f>
        <v>200764823.25999999</v>
      </c>
      <c r="Q10" s="1"/>
    </row>
    <row r="12" spans="1:18" x14ac:dyDescent="0.25">
      <c r="G12" s="29"/>
      <c r="H12" s="29"/>
      <c r="I12" s="29"/>
      <c r="J12" s="29"/>
    </row>
    <row r="13" spans="1:18" x14ac:dyDescent="0.25">
      <c r="D13" s="29"/>
      <c r="F13" s="29"/>
      <c r="G13" s="29"/>
      <c r="I13" s="29"/>
      <c r="J13" s="29"/>
    </row>
    <row r="14" spans="1:18" x14ac:dyDescent="0.25">
      <c r="I14" s="29"/>
      <c r="J14" s="29"/>
      <c r="M14" s="29"/>
    </row>
    <row r="15" spans="1:18" x14ac:dyDescent="0.25">
      <c r="I15" s="29"/>
      <c r="J15" s="29"/>
      <c r="M15" s="29"/>
    </row>
    <row r="16" spans="1:18" x14ac:dyDescent="0.25">
      <c r="I16" s="29"/>
      <c r="J16" s="29"/>
    </row>
    <row r="17" spans="7:10" x14ac:dyDescent="0.25">
      <c r="I17" s="29"/>
      <c r="J17" s="29"/>
    </row>
    <row r="18" spans="7:10" x14ac:dyDescent="0.25">
      <c r="I18" s="29"/>
      <c r="J18" s="29"/>
    </row>
    <row r="19" spans="7:10" x14ac:dyDescent="0.25">
      <c r="I19" s="29"/>
      <c r="J19" s="29"/>
    </row>
    <row r="20" spans="7:10" x14ac:dyDescent="0.25">
      <c r="I20" s="29"/>
      <c r="J20" s="29"/>
    </row>
    <row r="21" spans="7:10" x14ac:dyDescent="0.25">
      <c r="I21" s="29"/>
      <c r="J21" s="29"/>
    </row>
    <row r="22" spans="7:10" x14ac:dyDescent="0.25">
      <c r="I22" s="29"/>
      <c r="J22" s="29"/>
    </row>
    <row r="26" spans="7:10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9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29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10342140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8248151</v>
      </c>
      <c r="C5" s="12">
        <v>2181700</v>
      </c>
      <c r="D5" s="12">
        <v>4754001</v>
      </c>
      <c r="E5" s="12">
        <v>2361378</v>
      </c>
      <c r="F5" s="12">
        <v>5626065</v>
      </c>
      <c r="G5" s="12">
        <v>1713197</v>
      </c>
      <c r="H5" s="12">
        <v>4354717</v>
      </c>
      <c r="I5" s="12">
        <v>4618255</v>
      </c>
      <c r="J5" s="12">
        <v>4994367</v>
      </c>
      <c r="K5" s="12">
        <v>3562340</v>
      </c>
      <c r="L5" s="12">
        <v>2701517</v>
      </c>
      <c r="M5" s="12">
        <v>4011776</v>
      </c>
      <c r="N5" s="13">
        <f>SUM(B5:M5)</f>
        <v>49127464</v>
      </c>
    </row>
    <row r="6" spans="1:14" x14ac:dyDescent="0.25">
      <c r="A6" s="11" t="s">
        <v>92</v>
      </c>
      <c r="B6" s="12">
        <v>702815</v>
      </c>
      <c r="C6" s="12">
        <v>1109789</v>
      </c>
      <c r="D6" s="12">
        <v>302199</v>
      </c>
      <c r="E6" s="12">
        <v>1474818</v>
      </c>
      <c r="F6" s="12">
        <v>711584</v>
      </c>
      <c r="G6" s="12">
        <v>582068</v>
      </c>
      <c r="H6" s="12"/>
      <c r="I6" s="12">
        <v>542422</v>
      </c>
      <c r="J6" s="12">
        <v>1028795</v>
      </c>
      <c r="K6" s="12">
        <v>411737</v>
      </c>
      <c r="L6" s="12">
        <v>378596</v>
      </c>
      <c r="M6" s="14">
        <v>696203</v>
      </c>
      <c r="N6" s="13">
        <f t="shared" ref="N6:N9" si="0">SUM(B6:M6)</f>
        <v>7941026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>
        <f>4415111+5224214</f>
        <v>9639325</v>
      </c>
      <c r="D9" s="12">
        <v>9017863</v>
      </c>
      <c r="E9" s="12">
        <v>3279183</v>
      </c>
      <c r="F9" s="12">
        <v>1649794</v>
      </c>
      <c r="G9" s="12">
        <v>5043997</v>
      </c>
      <c r="H9" s="12">
        <v>1713197</v>
      </c>
      <c r="I9" s="12">
        <v>3812295</v>
      </c>
      <c r="J9" s="12"/>
      <c r="K9" s="12">
        <v>3589460</v>
      </c>
      <c r="L9" s="12">
        <v>7766374</v>
      </c>
      <c r="M9" s="12">
        <v>2701517</v>
      </c>
      <c r="N9" s="13">
        <f t="shared" si="0"/>
        <v>48213005</v>
      </c>
    </row>
    <row r="10" spans="1:14" s="17" customFormat="1" ht="14.25" x14ac:dyDescent="0.2">
      <c r="A10" s="15" t="s">
        <v>96</v>
      </c>
      <c r="B10" s="16">
        <f>+N3+B5-B6-B7-B8-B9</f>
        <v>17887476</v>
      </c>
      <c r="C10" s="16">
        <f t="shared" ref="C10:M10" si="1">+B10+C5-C6-C7-C8-C9</f>
        <v>9320062</v>
      </c>
      <c r="D10" s="16">
        <f t="shared" si="1"/>
        <v>4754001</v>
      </c>
      <c r="E10" s="16">
        <f t="shared" si="1"/>
        <v>2361378</v>
      </c>
      <c r="F10" s="16">
        <f t="shared" si="1"/>
        <v>5626065</v>
      </c>
      <c r="G10" s="16">
        <f t="shared" si="1"/>
        <v>1713197</v>
      </c>
      <c r="H10" s="16">
        <f t="shared" si="1"/>
        <v>4354717</v>
      </c>
      <c r="I10" s="16">
        <f t="shared" si="1"/>
        <v>4618255</v>
      </c>
      <c r="J10" s="16">
        <f t="shared" si="1"/>
        <v>8583827</v>
      </c>
      <c r="K10" s="16">
        <f t="shared" si="1"/>
        <v>8144970</v>
      </c>
      <c r="L10" s="16">
        <f t="shared" si="1"/>
        <v>2701517</v>
      </c>
      <c r="M10" s="16">
        <f t="shared" si="1"/>
        <v>3315573</v>
      </c>
      <c r="N10" s="13">
        <f>N3+N5-N6-N7-N8-N9</f>
        <v>3315573</v>
      </c>
    </row>
    <row r="12" spans="1:14" x14ac:dyDescent="0.25">
      <c r="E12" s="29"/>
    </row>
    <row r="13" spans="1:14" x14ac:dyDescent="0.25">
      <c r="A13" s="1"/>
      <c r="B13" s="1"/>
    </row>
    <row r="14" spans="1:14" x14ac:dyDescent="0.25">
      <c r="F14" s="29"/>
      <c r="J14" s="29"/>
    </row>
    <row r="16" spans="1:14" x14ac:dyDescent="0.25">
      <c r="C16" s="29"/>
    </row>
    <row r="17" spans="6:9" x14ac:dyDescent="0.25">
      <c r="F17" s="29"/>
    </row>
    <row r="24" spans="6:9" x14ac:dyDescent="0.25">
      <c r="I24" s="29"/>
    </row>
    <row r="26" spans="6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20.28515625" style="5" customWidth="1"/>
    <col min="2" max="5" width="14.85546875" style="5" customWidth="1"/>
    <col min="6" max="7" width="14.85546875" style="1" customWidth="1"/>
    <col min="8" max="13" width="14.85546875" style="5" customWidth="1"/>
    <col min="14" max="14" width="15.42578125" style="5" customWidth="1"/>
    <col min="15" max="15" width="9.140625" style="1"/>
    <col min="16" max="16" width="11.28515625" style="1" bestFit="1" customWidth="1"/>
    <col min="17" max="16384" width="9.140625" style="1"/>
  </cols>
  <sheetData>
    <row r="1" spans="1:16" ht="15.75" x14ac:dyDescent="0.25">
      <c r="L1" s="103" t="s">
        <v>106</v>
      </c>
      <c r="M1" s="103"/>
      <c r="N1" s="103"/>
    </row>
    <row r="2" spans="1:16" ht="18.75" x14ac:dyDescent="0.25">
      <c r="B2" s="104" t="s">
        <v>114</v>
      </c>
      <c r="C2" s="104"/>
      <c r="D2" s="104"/>
      <c r="E2" s="104"/>
      <c r="F2" s="104"/>
    </row>
    <row r="3" spans="1:16" ht="29.25" x14ac:dyDescent="0.25">
      <c r="B3" s="5" t="s">
        <v>99</v>
      </c>
      <c r="M3" s="6" t="s">
        <v>153</v>
      </c>
      <c r="N3" s="7">
        <v>27158939</v>
      </c>
      <c r="P3" s="57"/>
    </row>
    <row r="4" spans="1:16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22" t="s">
        <v>82</v>
      </c>
      <c r="G4" s="22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6" ht="15.75" x14ac:dyDescent="0.25">
      <c r="A5" s="11" t="s">
        <v>91</v>
      </c>
      <c r="B5" s="12">
        <v>14666667</v>
      </c>
      <c r="C5" s="12">
        <v>9071478</v>
      </c>
      <c r="D5" s="12">
        <v>5924902</v>
      </c>
      <c r="E5" s="12">
        <v>3407995</v>
      </c>
      <c r="F5" s="47">
        <v>13332637</v>
      </c>
      <c r="G5" s="47">
        <v>6945558</v>
      </c>
      <c r="H5" s="12">
        <v>12710499</v>
      </c>
      <c r="I5" s="12">
        <v>14873868</v>
      </c>
      <c r="J5" s="63">
        <v>15340732</v>
      </c>
      <c r="K5" s="12">
        <v>15542990</v>
      </c>
      <c r="L5" s="12">
        <v>16130083</v>
      </c>
      <c r="M5" s="12">
        <v>19397033</v>
      </c>
      <c r="N5" s="13">
        <f>SUM(B5:M5)</f>
        <v>147344442</v>
      </c>
    </row>
    <row r="6" spans="1:16" ht="15.75" x14ac:dyDescent="0.25">
      <c r="A6" s="11" t="s">
        <v>92</v>
      </c>
      <c r="B6" s="12">
        <v>884753</v>
      </c>
      <c r="C6" s="12">
        <v>4536383</v>
      </c>
      <c r="D6" s="12">
        <v>3254849</v>
      </c>
      <c r="E6" s="12">
        <v>1833197</v>
      </c>
      <c r="F6" s="47">
        <v>2174860</v>
      </c>
      <c r="G6" s="47">
        <v>2768287</v>
      </c>
      <c r="H6" s="12">
        <v>1919383</v>
      </c>
      <c r="I6" s="12">
        <v>717293</v>
      </c>
      <c r="J6" s="44">
        <v>547812</v>
      </c>
      <c r="K6" s="12">
        <v>2547203</v>
      </c>
      <c r="L6" s="12">
        <v>1004147</v>
      </c>
      <c r="M6" s="14">
        <v>1498649</v>
      </c>
      <c r="N6" s="13">
        <f t="shared" ref="N6:N9" si="0">SUM(B6:M6)</f>
        <v>23686816</v>
      </c>
    </row>
    <row r="7" spans="1:16" ht="15.75" x14ac:dyDescent="0.25">
      <c r="A7" s="11" t="s">
        <v>93</v>
      </c>
      <c r="B7" s="12">
        <v>964734</v>
      </c>
      <c r="C7" s="12">
        <v>317457</v>
      </c>
      <c r="D7" s="12">
        <v>186904</v>
      </c>
      <c r="E7" s="12">
        <v>332664</v>
      </c>
      <c r="F7" s="47"/>
      <c r="G7" s="47">
        <v>558617</v>
      </c>
      <c r="H7" s="45">
        <v>292409</v>
      </c>
      <c r="I7" s="12">
        <v>755378</v>
      </c>
      <c r="K7" s="12">
        <f>990960+1035504</f>
        <v>2026464</v>
      </c>
      <c r="L7" s="12">
        <v>909705</v>
      </c>
      <c r="M7" s="14">
        <v>1058815</v>
      </c>
      <c r="N7" s="13">
        <f t="shared" si="0"/>
        <v>7403147</v>
      </c>
    </row>
    <row r="8" spans="1:16" x14ac:dyDescent="0.25">
      <c r="A8" s="11" t="s">
        <v>94</v>
      </c>
      <c r="B8" s="12"/>
      <c r="C8" s="12"/>
      <c r="D8" s="12"/>
      <c r="E8" s="12"/>
      <c r="F8" s="47"/>
      <c r="G8" s="47"/>
      <c r="H8" s="12"/>
      <c r="I8" s="12"/>
      <c r="J8" s="12"/>
      <c r="K8" s="12"/>
      <c r="L8" s="12"/>
      <c r="M8" s="14"/>
      <c r="N8" s="13">
        <f t="shared" si="0"/>
        <v>0</v>
      </c>
    </row>
    <row r="9" spans="1:16" x14ac:dyDescent="0.25">
      <c r="A9" s="11" t="s">
        <v>95</v>
      </c>
      <c r="B9" s="12"/>
      <c r="C9" s="12">
        <v>16039427</v>
      </c>
      <c r="D9" s="12">
        <v>11120436</v>
      </c>
      <c r="E9" s="12">
        <v>17034815</v>
      </c>
      <c r="F9" s="47">
        <v>2483147</v>
      </c>
      <c r="G9" s="47"/>
      <c r="H9" s="12">
        <v>11841294</v>
      </c>
      <c r="I9" s="12">
        <v>3884859</v>
      </c>
      <c r="J9" s="12">
        <v>10035734</v>
      </c>
      <c r="K9" s="12"/>
      <c r="L9" s="12">
        <v>13165615</v>
      </c>
      <c r="M9" s="12">
        <v>25843496</v>
      </c>
      <c r="N9" s="13">
        <f t="shared" si="0"/>
        <v>111448823</v>
      </c>
    </row>
    <row r="10" spans="1:16" s="17" customFormat="1" ht="14.25" x14ac:dyDescent="0.2">
      <c r="A10" s="15" t="s">
        <v>96</v>
      </c>
      <c r="B10" s="16">
        <f>+N3+B5-B6-B7-B8-B9</f>
        <v>39976119</v>
      </c>
      <c r="C10" s="16">
        <f t="shared" ref="C10:M10" si="1">+B10+C5-C6-C7-C9</f>
        <v>28154330</v>
      </c>
      <c r="D10" s="16">
        <f t="shared" si="1"/>
        <v>19517043</v>
      </c>
      <c r="E10" s="16">
        <f t="shared" si="1"/>
        <v>3724362</v>
      </c>
      <c r="F10" s="16">
        <f t="shared" si="1"/>
        <v>12398992</v>
      </c>
      <c r="G10" s="16">
        <f t="shared" si="1"/>
        <v>16017646</v>
      </c>
      <c r="H10" s="16">
        <f t="shared" si="1"/>
        <v>14675059</v>
      </c>
      <c r="I10" s="16">
        <f t="shared" si="1"/>
        <v>24191397</v>
      </c>
      <c r="J10" s="16">
        <f t="shared" si="1"/>
        <v>28948583</v>
      </c>
      <c r="K10" s="16">
        <f t="shared" si="1"/>
        <v>39917906</v>
      </c>
      <c r="L10" s="16">
        <f t="shared" si="1"/>
        <v>40968522</v>
      </c>
      <c r="M10" s="16">
        <f t="shared" si="1"/>
        <v>31964595</v>
      </c>
      <c r="N10" s="13">
        <f>N3+N5-N6-N7-N8-N9</f>
        <v>31964595</v>
      </c>
    </row>
    <row r="13" spans="1:16" x14ac:dyDescent="0.25">
      <c r="B13" s="1"/>
    </row>
    <row r="14" spans="1:16" x14ac:dyDescent="0.25">
      <c r="B14" s="1"/>
      <c r="C14" s="29"/>
      <c r="D14" s="29"/>
    </row>
    <row r="16" spans="1:16" x14ac:dyDescent="0.25">
      <c r="C16" s="29"/>
      <c r="E16" s="29"/>
    </row>
    <row r="26" spans="7:7" x14ac:dyDescent="0.25">
      <c r="G26" s="4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5" width="11.5703125" style="1" bestFit="1" customWidth="1"/>
    <col min="16" max="16384" width="9.140625" style="1"/>
  </cols>
  <sheetData>
    <row r="1" spans="1:15" ht="15.75" x14ac:dyDescent="0.25">
      <c r="L1" s="103" t="s">
        <v>106</v>
      </c>
      <c r="M1" s="103"/>
      <c r="N1" s="103"/>
    </row>
    <row r="2" spans="1:15" ht="18.75" x14ac:dyDescent="0.25">
      <c r="B2" s="104" t="s">
        <v>31</v>
      </c>
      <c r="C2" s="104"/>
      <c r="D2" s="104"/>
      <c r="E2" s="104"/>
      <c r="F2" s="104"/>
    </row>
    <row r="3" spans="1:15" ht="29.25" x14ac:dyDescent="0.25">
      <c r="B3" s="5" t="s">
        <v>99</v>
      </c>
      <c r="M3" s="6" t="s">
        <v>153</v>
      </c>
      <c r="N3" s="7">
        <v>13125355</v>
      </c>
    </row>
    <row r="4" spans="1:15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5" x14ac:dyDescent="0.25">
      <c r="A5" s="11" t="s">
        <v>91</v>
      </c>
      <c r="B5" s="12">
        <v>2037901</v>
      </c>
      <c r="C5" s="12"/>
      <c r="D5" s="12">
        <v>14713272</v>
      </c>
      <c r="E5" s="12">
        <v>7371091</v>
      </c>
      <c r="F5" s="12">
        <f>1395263+4356104</f>
        <v>5751367</v>
      </c>
      <c r="G5" s="12">
        <v>6756009</v>
      </c>
      <c r="H5" s="12">
        <v>3535903</v>
      </c>
      <c r="I5" s="12">
        <v>5933237</v>
      </c>
      <c r="J5" s="12">
        <v>6624979</v>
      </c>
      <c r="K5" s="12"/>
      <c r="L5" s="12">
        <v>5678554</v>
      </c>
      <c r="M5" s="12">
        <v>3579922</v>
      </c>
      <c r="N5" s="13">
        <f>SUM(B5:M5)</f>
        <v>61982235</v>
      </c>
    </row>
    <row r="6" spans="1:15" x14ac:dyDescent="0.25">
      <c r="A6" s="11" t="s">
        <v>92</v>
      </c>
      <c r="B6" s="12">
        <v>401847</v>
      </c>
      <c r="C6" s="12"/>
      <c r="D6" s="12">
        <v>587016</v>
      </c>
      <c r="E6" s="12">
        <v>1099393</v>
      </c>
      <c r="F6" s="12">
        <v>943838</v>
      </c>
      <c r="G6" s="12">
        <v>741997</v>
      </c>
      <c r="H6" s="12">
        <v>593074</v>
      </c>
      <c r="I6" s="12">
        <v>632151</v>
      </c>
      <c r="J6" s="12">
        <v>113944</v>
      </c>
      <c r="K6" s="12"/>
      <c r="L6" s="12"/>
      <c r="M6" s="14"/>
      <c r="N6" s="13">
        <f t="shared" ref="N6:N9" si="0">SUM(B6:M6)</f>
        <v>5113260</v>
      </c>
      <c r="O6" s="57"/>
    </row>
    <row r="7" spans="1:15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95</v>
      </c>
      <c r="B9" s="12"/>
      <c r="C9" s="12"/>
      <c r="D9" s="12"/>
      <c r="E9" s="12"/>
      <c r="F9" s="12"/>
      <c r="G9" s="12"/>
      <c r="H9" s="12">
        <v>11662037</v>
      </c>
      <c r="I9" s="12">
        <v>21917355</v>
      </c>
      <c r="J9" s="12"/>
      <c r="K9" s="12"/>
      <c r="L9" s="12">
        <v>26930303</v>
      </c>
      <c r="M9" s="12"/>
      <c r="N9" s="13">
        <f t="shared" si="0"/>
        <v>60509695</v>
      </c>
    </row>
    <row r="10" spans="1:15" s="17" customFormat="1" ht="14.25" x14ac:dyDescent="0.2">
      <c r="A10" s="15" t="s">
        <v>96</v>
      </c>
      <c r="B10" s="16">
        <f>N3+B5-B6-B7-B8-B9</f>
        <v>14761409</v>
      </c>
      <c r="C10" s="16">
        <f t="shared" ref="C10:H10" si="1">B10+C5-C6-C7-C8-C9</f>
        <v>14761409</v>
      </c>
      <c r="D10" s="16">
        <f t="shared" si="1"/>
        <v>28887665</v>
      </c>
      <c r="E10" s="16">
        <f t="shared" si="1"/>
        <v>35159363</v>
      </c>
      <c r="F10" s="16">
        <f t="shared" si="1"/>
        <v>39966892</v>
      </c>
      <c r="G10" s="16">
        <f t="shared" si="1"/>
        <v>45980904</v>
      </c>
      <c r="H10" s="16">
        <f t="shared" si="1"/>
        <v>37261696</v>
      </c>
      <c r="I10" s="16">
        <f t="shared" ref="I10" si="2">H10+I5-I6-I7-I8-I9</f>
        <v>20645427</v>
      </c>
      <c r="J10" s="16">
        <f t="shared" ref="J10" si="3">I10+J5-J6-J7-J8-J9</f>
        <v>27156462</v>
      </c>
      <c r="K10" s="16">
        <f t="shared" ref="K10:M10" si="4">J10+K5-K6-K7-K8-K9</f>
        <v>27156462</v>
      </c>
      <c r="L10" s="16">
        <f t="shared" si="4"/>
        <v>5904713</v>
      </c>
      <c r="M10" s="16">
        <f t="shared" si="4"/>
        <v>9484635</v>
      </c>
      <c r="N10" s="13">
        <f>N3+N5-N6-N7-N8-N9</f>
        <v>9484635</v>
      </c>
    </row>
    <row r="13" spans="1:15" x14ac:dyDescent="0.25">
      <c r="B13" s="1"/>
    </row>
    <row r="26" spans="7:7" x14ac:dyDescent="0.25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101481256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101481256</v>
      </c>
      <c r="C10" s="16">
        <f t="shared" ref="C10:H10" si="1">B10+C5-C6-C7-C8-C9</f>
        <v>101481256</v>
      </c>
      <c r="D10" s="16">
        <f t="shared" si="1"/>
        <v>101481256</v>
      </c>
      <c r="E10" s="16">
        <f t="shared" si="1"/>
        <v>101481256</v>
      </c>
      <c r="F10" s="16">
        <f t="shared" si="1"/>
        <v>101481256</v>
      </c>
      <c r="G10" s="16">
        <f t="shared" si="1"/>
        <v>101481256</v>
      </c>
      <c r="H10" s="16">
        <f t="shared" si="1"/>
        <v>101481256</v>
      </c>
      <c r="I10" s="16">
        <f t="shared" ref="I10" si="2">H10+I5-I6-I7-I8-I9</f>
        <v>101481256</v>
      </c>
      <c r="J10" s="16">
        <f t="shared" ref="J10" si="3">I10+J5-J6-J7-J8-J9</f>
        <v>101481256</v>
      </c>
      <c r="K10" s="16">
        <f t="shared" ref="K10:L10" si="4">J10+K5-K6-K7-K8-K9</f>
        <v>101481256</v>
      </c>
      <c r="L10" s="16">
        <f t="shared" si="4"/>
        <v>101481256</v>
      </c>
      <c r="M10" s="16"/>
      <c r="N10" s="13">
        <f>N3+N5-N6-N7-N8-N9</f>
        <v>101481256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32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46372749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ht="15.75" x14ac:dyDescent="0.25">
      <c r="A5" s="11" t="s">
        <v>91</v>
      </c>
      <c r="B5" s="12">
        <v>11233145</v>
      </c>
      <c r="C5" s="12">
        <v>5760774</v>
      </c>
      <c r="D5" s="12">
        <v>9552125</v>
      </c>
      <c r="E5" s="12">
        <v>8443734</v>
      </c>
      <c r="F5" s="12">
        <v>6052014</v>
      </c>
      <c r="G5" s="12">
        <v>10920606</v>
      </c>
      <c r="H5" s="27">
        <v>7449260</v>
      </c>
      <c r="I5" s="12">
        <v>16748361</v>
      </c>
      <c r="J5" s="12">
        <v>2647569</v>
      </c>
      <c r="K5" s="12">
        <v>12100407</v>
      </c>
      <c r="L5" s="12">
        <v>10012488</v>
      </c>
      <c r="M5" s="12">
        <v>10758302</v>
      </c>
      <c r="N5" s="13">
        <f>SUM(B5:M5)</f>
        <v>111678785</v>
      </c>
    </row>
    <row r="6" spans="1:14" ht="15.75" x14ac:dyDescent="0.25">
      <c r="A6" s="11" t="s">
        <v>92</v>
      </c>
      <c r="B6" s="12">
        <v>227890</v>
      </c>
      <c r="C6" s="12"/>
      <c r="D6" s="12">
        <v>458485</v>
      </c>
      <c r="E6" s="12">
        <v>1247842</v>
      </c>
      <c r="F6" s="12">
        <v>1179733</v>
      </c>
      <c r="G6" s="12">
        <v>479906</v>
      </c>
      <c r="H6" s="50">
        <v>631031</v>
      </c>
      <c r="I6" s="12">
        <v>317859</v>
      </c>
      <c r="J6" s="12">
        <v>1862803</v>
      </c>
      <c r="K6" s="12">
        <v>51487</v>
      </c>
      <c r="L6" s="12">
        <v>21101</v>
      </c>
      <c r="M6" s="14">
        <v>766422</v>
      </c>
      <c r="N6" s="13">
        <f t="shared" ref="N6:N9" si="0">SUM(B6:M6)</f>
        <v>7244559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>
        <v>33916427</v>
      </c>
      <c r="D9" s="12"/>
      <c r="E9" s="12">
        <v>12490325</v>
      </c>
      <c r="F9" s="12"/>
      <c r="G9" s="12"/>
      <c r="H9" s="12">
        <v>37936489</v>
      </c>
      <c r="I9" s="12"/>
      <c r="J9" s="12"/>
      <c r="K9" s="12"/>
      <c r="L9" s="12">
        <v>33689569</v>
      </c>
      <c r="M9" s="12"/>
      <c r="N9" s="13">
        <f t="shared" si="0"/>
        <v>118032810</v>
      </c>
    </row>
    <row r="10" spans="1:14" s="17" customFormat="1" ht="14.25" x14ac:dyDescent="0.2">
      <c r="A10" s="15" t="s">
        <v>96</v>
      </c>
      <c r="B10" s="16">
        <f>+N3+B5-B6-B7-B8-B9</f>
        <v>57378004</v>
      </c>
      <c r="C10" s="16">
        <f t="shared" ref="C10:M10" si="1">+B10+C5-C6-C7-C8-C9</f>
        <v>29222351</v>
      </c>
      <c r="D10" s="16">
        <f t="shared" si="1"/>
        <v>38315991</v>
      </c>
      <c r="E10" s="16">
        <f t="shared" si="1"/>
        <v>33021558</v>
      </c>
      <c r="F10" s="16">
        <f t="shared" si="1"/>
        <v>37893839</v>
      </c>
      <c r="G10" s="16">
        <f t="shared" si="1"/>
        <v>48334539</v>
      </c>
      <c r="H10" s="16">
        <f t="shared" si="1"/>
        <v>17216279</v>
      </c>
      <c r="I10" s="16">
        <f t="shared" si="1"/>
        <v>33646781</v>
      </c>
      <c r="J10" s="16">
        <f t="shared" si="1"/>
        <v>34431547</v>
      </c>
      <c r="K10" s="16">
        <f t="shared" si="1"/>
        <v>46480467</v>
      </c>
      <c r="L10" s="16">
        <f t="shared" si="1"/>
        <v>22782285</v>
      </c>
      <c r="M10" s="16">
        <f t="shared" si="1"/>
        <v>32774165</v>
      </c>
      <c r="N10" s="13">
        <f>N3+N5-N6-N7-N8-N9</f>
        <v>32774165</v>
      </c>
    </row>
    <row r="13" spans="1:14" x14ac:dyDescent="0.25">
      <c r="G13" s="29"/>
      <c r="H13" s="29"/>
    </row>
    <row r="14" spans="1:14" x14ac:dyDescent="0.25">
      <c r="F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10659963.5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2471724</v>
      </c>
      <c r="C5" s="12">
        <v>2483279</v>
      </c>
      <c r="D5" s="12"/>
      <c r="E5" s="12">
        <v>9837819</v>
      </c>
      <c r="F5" s="12">
        <v>3703396</v>
      </c>
      <c r="G5" s="12">
        <v>5461994</v>
      </c>
      <c r="H5" s="12">
        <v>2834093</v>
      </c>
      <c r="I5" s="12">
        <v>11161585</v>
      </c>
      <c r="J5" s="12">
        <v>3349998</v>
      </c>
      <c r="K5" s="12">
        <v>9532685</v>
      </c>
      <c r="L5" s="12">
        <v>7241744</v>
      </c>
      <c r="M5" s="12">
        <v>2983605</v>
      </c>
      <c r="N5" s="13">
        <f>SUM(B5:M5)</f>
        <v>61061922</v>
      </c>
    </row>
    <row r="6" spans="1:14" x14ac:dyDescent="0.25">
      <c r="A6" s="11" t="s">
        <v>92</v>
      </c>
      <c r="B6" s="12"/>
      <c r="C6" s="12"/>
      <c r="D6" s="12">
        <v>1478497</v>
      </c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1478497</v>
      </c>
    </row>
    <row r="7" spans="1:14" x14ac:dyDescent="0.25">
      <c r="A7" s="11" t="s">
        <v>93</v>
      </c>
      <c r="B7" s="12">
        <v>24717</v>
      </c>
      <c r="C7" s="12">
        <v>24833</v>
      </c>
      <c r="D7" s="12"/>
      <c r="E7" s="12">
        <v>98378</v>
      </c>
      <c r="F7" s="12">
        <v>37034</v>
      </c>
      <c r="G7" s="12">
        <v>54620</v>
      </c>
      <c r="H7" s="12">
        <v>28341</v>
      </c>
      <c r="J7" s="12">
        <v>111616</v>
      </c>
      <c r="K7" s="12">
        <v>33500</v>
      </c>
      <c r="L7" s="12">
        <v>95327</v>
      </c>
      <c r="M7" s="14"/>
      <c r="N7" s="13">
        <f t="shared" si="0"/>
        <v>508366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10659964</v>
      </c>
      <c r="C9" s="12">
        <v>0</v>
      </c>
      <c r="D9" s="12">
        <v>0</v>
      </c>
      <c r="E9" s="12"/>
      <c r="F9" s="12"/>
      <c r="G9" s="12"/>
      <c r="H9" s="12">
        <v>16832760</v>
      </c>
      <c r="I9" s="12"/>
      <c r="J9" s="12">
        <v>7493471</v>
      </c>
      <c r="K9" s="12"/>
      <c r="L9" s="12"/>
      <c r="M9" s="12">
        <v>14366467</v>
      </c>
      <c r="N9" s="13">
        <f t="shared" si="0"/>
        <v>49352662</v>
      </c>
    </row>
    <row r="10" spans="1:14" s="17" customFormat="1" ht="14.25" x14ac:dyDescent="0.2">
      <c r="A10" s="15" t="s">
        <v>96</v>
      </c>
      <c r="B10" s="16">
        <f>+N3+B5-B6-B7-B8-B9</f>
        <v>2447006.5</v>
      </c>
      <c r="C10" s="16">
        <f t="shared" ref="C10:H10" si="1">+B10+C5-C6-C7-C8-C9</f>
        <v>4905452.5</v>
      </c>
      <c r="D10" s="16">
        <f t="shared" si="1"/>
        <v>3426955.5</v>
      </c>
      <c r="E10" s="16">
        <f t="shared" si="1"/>
        <v>13166396.5</v>
      </c>
      <c r="F10" s="16">
        <f t="shared" si="1"/>
        <v>16832758.5</v>
      </c>
      <c r="G10" s="16">
        <f t="shared" si="1"/>
        <v>22240132.5</v>
      </c>
      <c r="H10" s="16">
        <f t="shared" si="1"/>
        <v>8213124.5</v>
      </c>
      <c r="I10" s="16">
        <f>+H10+I5-I6-I7-I8-I9</f>
        <v>19374709.5</v>
      </c>
      <c r="J10" s="16">
        <f>+I10+J5-J6-J7-J8-J9</f>
        <v>15119620.5</v>
      </c>
      <c r="K10" s="16">
        <f>+J10+K5-K6-K7-K8-K9</f>
        <v>24618805.5</v>
      </c>
      <c r="L10" s="16">
        <f>+K10+L5-L6-L7-L8-L9</f>
        <v>31765222.5</v>
      </c>
      <c r="M10" s="16">
        <f>+L10+M5-M6-M7-M8-M9</f>
        <v>20382360.5</v>
      </c>
      <c r="N10" s="13">
        <f>N3+N5-N6-N7-N8-N9</f>
        <v>20382360.5</v>
      </c>
    </row>
    <row r="14" spans="1:14" x14ac:dyDescent="0.25">
      <c r="K14" s="84" t="s">
        <v>176</v>
      </c>
      <c r="M14" s="14">
        <v>72417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6.85546875" style="1" bestFit="1" customWidth="1"/>
    <col min="16" max="16" width="15.7109375" style="1" bestFit="1" customWidth="1"/>
    <col min="17" max="16384" width="9.140625" style="1"/>
  </cols>
  <sheetData>
    <row r="1" spans="1:16" ht="15.75" x14ac:dyDescent="0.25">
      <c r="L1" s="103" t="s">
        <v>106</v>
      </c>
      <c r="M1" s="103"/>
      <c r="N1" s="103"/>
    </row>
    <row r="2" spans="1:16" ht="18.75" x14ac:dyDescent="0.25">
      <c r="B2" s="104" t="s">
        <v>117</v>
      </c>
      <c r="C2" s="104"/>
      <c r="D2" s="104"/>
      <c r="E2" s="104"/>
      <c r="F2" s="104"/>
    </row>
    <row r="3" spans="1:16" ht="29.25" x14ac:dyDescent="0.25">
      <c r="B3" s="5" t="s">
        <v>99</v>
      </c>
      <c r="M3" s="6" t="s">
        <v>153</v>
      </c>
      <c r="N3" s="7">
        <v>25102290</v>
      </c>
    </row>
    <row r="4" spans="1:16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6" x14ac:dyDescent="0.25">
      <c r="A5" s="11" t="s">
        <v>91</v>
      </c>
      <c r="B5" s="12">
        <v>26413768</v>
      </c>
      <c r="C5" s="12">
        <v>21611265</v>
      </c>
      <c r="D5" s="12">
        <v>18445977</v>
      </c>
      <c r="E5" s="12">
        <v>19319158</v>
      </c>
      <c r="F5" s="12">
        <v>18445977</v>
      </c>
      <c r="G5" s="12">
        <v>10259891</v>
      </c>
      <c r="H5" s="12">
        <v>17136203</v>
      </c>
      <c r="I5" s="12">
        <v>24051052</v>
      </c>
      <c r="J5" s="12">
        <v>25707099</v>
      </c>
      <c r="K5" s="12">
        <v>18271525</v>
      </c>
      <c r="L5" s="12">
        <v>16722218</v>
      </c>
      <c r="M5" s="12">
        <v>21777922</v>
      </c>
      <c r="N5" s="13">
        <f>SUM(B5:M5)</f>
        <v>238162055</v>
      </c>
    </row>
    <row r="6" spans="1:16" x14ac:dyDescent="0.25">
      <c r="A6" s="11" t="s">
        <v>92</v>
      </c>
      <c r="B6" s="12">
        <v>2401251</v>
      </c>
      <c r="C6" s="12">
        <v>2401251</v>
      </c>
      <c r="D6" s="12">
        <v>1091478</v>
      </c>
      <c r="E6" s="12">
        <f>218296+1964660</f>
        <v>2182956</v>
      </c>
      <c r="F6" s="12">
        <v>3056139</v>
      </c>
      <c r="G6" s="12">
        <v>3056139</v>
      </c>
      <c r="H6" s="12">
        <v>2619546</v>
      </c>
      <c r="I6" s="12">
        <v>2619546</v>
      </c>
      <c r="J6" s="12">
        <v>1091478</v>
      </c>
      <c r="K6" s="12">
        <v>1115605</v>
      </c>
      <c r="L6" s="12">
        <v>1760845</v>
      </c>
      <c r="M6" s="14">
        <v>2728696</v>
      </c>
      <c r="N6" s="13">
        <f t="shared" ref="N6:N9" si="0">SUM(B6:M6)</f>
        <v>26124930</v>
      </c>
    </row>
    <row r="7" spans="1:16" x14ac:dyDescent="0.25">
      <c r="A7" s="11" t="s">
        <v>93</v>
      </c>
      <c r="B7" s="12">
        <v>1236298</v>
      </c>
      <c r="C7" s="12">
        <v>20000</v>
      </c>
      <c r="D7" s="12">
        <v>20000</v>
      </c>
      <c r="E7" s="12">
        <v>884710</v>
      </c>
      <c r="F7" s="12">
        <v>220000</v>
      </c>
      <c r="G7" s="12">
        <v>1020000</v>
      </c>
      <c r="H7" s="12">
        <v>1630324</v>
      </c>
      <c r="I7" s="12">
        <v>4020000</v>
      </c>
      <c r="J7" s="12">
        <v>620000</v>
      </c>
      <c r="K7" s="12">
        <v>1511102</v>
      </c>
      <c r="L7" s="12">
        <v>820000</v>
      </c>
      <c r="M7" s="14">
        <v>620000</v>
      </c>
      <c r="N7" s="13">
        <f t="shared" si="0"/>
        <v>12622434</v>
      </c>
    </row>
    <row r="8" spans="1:16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 x14ac:dyDescent="0.25">
      <c r="A9" s="11" t="s">
        <v>95</v>
      </c>
      <c r="B9" s="12">
        <v>22701040</v>
      </c>
      <c r="C9" s="12">
        <v>22776219</v>
      </c>
      <c r="D9" s="12">
        <v>20499787</v>
      </c>
      <c r="E9" s="12">
        <v>16243021</v>
      </c>
      <c r="F9" s="12">
        <v>15378309</v>
      </c>
      <c r="G9" s="12">
        <v>15169838</v>
      </c>
      <c r="H9" s="12">
        <v>6620345</v>
      </c>
      <c r="I9" s="12">
        <v>12886333</v>
      </c>
      <c r="J9" s="12">
        <v>18939574</v>
      </c>
      <c r="K9" s="12">
        <v>17987853</v>
      </c>
      <c r="L9" s="12">
        <v>20983217</v>
      </c>
      <c r="M9" s="12">
        <v>13173522</v>
      </c>
      <c r="N9" s="13">
        <f t="shared" si="0"/>
        <v>203359058</v>
      </c>
    </row>
    <row r="10" spans="1:16" s="17" customFormat="1" x14ac:dyDescent="0.25">
      <c r="A10" s="15" t="s">
        <v>96</v>
      </c>
      <c r="B10" s="16">
        <f>+N3+B5-B6-B7-B8-B9</f>
        <v>25177469</v>
      </c>
      <c r="C10" s="16">
        <f t="shared" ref="C10:M10" si="1">+B10+C5-C6-C7-C8-C9</f>
        <v>21591264</v>
      </c>
      <c r="D10" s="16">
        <f t="shared" si="1"/>
        <v>18425976</v>
      </c>
      <c r="E10" s="16">
        <f t="shared" si="1"/>
        <v>18434447</v>
      </c>
      <c r="F10" s="16">
        <f t="shared" si="1"/>
        <v>18225976</v>
      </c>
      <c r="G10" s="16">
        <f t="shared" si="1"/>
        <v>9239890</v>
      </c>
      <c r="H10" s="16">
        <f t="shared" si="1"/>
        <v>15505878</v>
      </c>
      <c r="I10" s="16">
        <f t="shared" si="1"/>
        <v>20031051</v>
      </c>
      <c r="J10" s="16">
        <f t="shared" si="1"/>
        <v>25087098</v>
      </c>
      <c r="K10" s="16">
        <f t="shared" si="1"/>
        <v>22744063</v>
      </c>
      <c r="L10" s="16">
        <f t="shared" si="1"/>
        <v>15902219</v>
      </c>
      <c r="M10" s="16">
        <f t="shared" si="1"/>
        <v>21157923</v>
      </c>
      <c r="N10" s="13">
        <f>N3+N5-N6-N7-N8-N9</f>
        <v>21157923</v>
      </c>
      <c r="O10" s="1"/>
      <c r="P10" s="1"/>
    </row>
    <row r="12" spans="1:16" x14ac:dyDescent="0.25">
      <c r="G12" s="1"/>
    </row>
    <row r="14" spans="1:16" x14ac:dyDescent="0.25">
      <c r="D14" s="29"/>
      <c r="G14" s="62"/>
      <c r="H14" s="62"/>
      <c r="I14" s="29"/>
      <c r="J14" s="29"/>
      <c r="K14" s="29"/>
    </row>
    <row r="16" spans="1:16" x14ac:dyDescent="0.25">
      <c r="G16" s="29"/>
      <c r="H16" s="29"/>
      <c r="I16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C1" zoomScaleNormal="10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5" width="9.140625" style="1"/>
    <col min="16" max="16" width="10.28515625" style="1" bestFit="1" customWidth="1"/>
    <col min="17" max="16384" width="9.140625" style="1"/>
  </cols>
  <sheetData>
    <row r="1" spans="1:16" ht="15.75" x14ac:dyDescent="0.25">
      <c r="L1" s="103" t="s">
        <v>106</v>
      </c>
      <c r="M1" s="103"/>
      <c r="N1" s="103"/>
    </row>
    <row r="2" spans="1:16" ht="18.75" x14ac:dyDescent="0.25">
      <c r="B2" s="104" t="s">
        <v>36</v>
      </c>
      <c r="C2" s="104"/>
      <c r="D2" s="104"/>
      <c r="E2" s="104"/>
      <c r="F2" s="104"/>
    </row>
    <row r="3" spans="1:16" ht="29.25" x14ac:dyDescent="0.25">
      <c r="B3" s="5" t="s">
        <v>99</v>
      </c>
      <c r="M3" s="6" t="s">
        <v>153</v>
      </c>
      <c r="N3" s="7">
        <v>33522214</v>
      </c>
      <c r="P3" s="57"/>
    </row>
    <row r="4" spans="1:16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6" x14ac:dyDescent="0.25">
      <c r="A5" s="11" t="s">
        <v>91</v>
      </c>
      <c r="B5" s="12">
        <v>17104146</v>
      </c>
      <c r="C5" s="12">
        <v>1349547</v>
      </c>
      <c r="D5" s="12">
        <v>5064962</v>
      </c>
      <c r="E5" s="12">
        <v>6498964</v>
      </c>
      <c r="F5" s="12">
        <v>9125616</v>
      </c>
      <c r="G5" s="12">
        <v>6209521</v>
      </c>
      <c r="H5" s="12">
        <v>12740011</v>
      </c>
      <c r="I5" s="12">
        <v>8825560</v>
      </c>
      <c r="J5" s="12">
        <v>8534255</v>
      </c>
      <c r="K5" s="12">
        <v>6813844</v>
      </c>
      <c r="L5" s="12">
        <v>8977731</v>
      </c>
      <c r="M5" s="12">
        <v>5734069</v>
      </c>
      <c r="N5" s="13">
        <f>SUM(B5:M5)</f>
        <v>96978226</v>
      </c>
    </row>
    <row r="6" spans="1:16" x14ac:dyDescent="0.25">
      <c r="A6" s="11" t="s">
        <v>92</v>
      </c>
      <c r="B6" s="12">
        <v>1401893</v>
      </c>
      <c r="C6" s="12">
        <v>104203</v>
      </c>
      <c r="D6" s="12">
        <v>4827042</v>
      </c>
      <c r="E6" s="12">
        <v>2364513</v>
      </c>
      <c r="F6" s="12">
        <v>4769060</v>
      </c>
      <c r="G6" s="12">
        <v>628964</v>
      </c>
      <c r="H6" s="12">
        <v>999104</v>
      </c>
      <c r="I6" s="12">
        <v>347635</v>
      </c>
      <c r="J6" s="12">
        <v>545815</v>
      </c>
      <c r="K6" s="12">
        <v>1061011</v>
      </c>
      <c r="L6" s="12">
        <v>1411112</v>
      </c>
      <c r="M6" s="14">
        <v>952683</v>
      </c>
      <c r="N6" s="13">
        <f t="shared" ref="N6:N9" si="0">SUM(B6:M6)</f>
        <v>19413035</v>
      </c>
    </row>
    <row r="7" spans="1:16" x14ac:dyDescent="0.25">
      <c r="A7" s="11" t="s">
        <v>93</v>
      </c>
      <c r="B7" s="12"/>
      <c r="C7" s="12">
        <v>943398</v>
      </c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943398</v>
      </c>
    </row>
    <row r="8" spans="1:16" x14ac:dyDescent="0.25">
      <c r="A8" s="11" t="s">
        <v>131</v>
      </c>
      <c r="B8" s="12"/>
      <c r="C8" s="12"/>
      <c r="D8" s="12"/>
      <c r="E8" s="12"/>
      <c r="F8" s="12"/>
      <c r="G8" s="12"/>
      <c r="H8" s="12"/>
      <c r="I8" s="12">
        <v>4400</v>
      </c>
      <c r="J8" s="12"/>
      <c r="K8" s="12"/>
      <c r="L8" s="12"/>
      <c r="M8" s="14"/>
      <c r="N8" s="13">
        <f t="shared" si="0"/>
        <v>4400</v>
      </c>
    </row>
    <row r="9" spans="1:16" x14ac:dyDescent="0.25">
      <c r="A9" s="11" t="s">
        <v>95</v>
      </c>
      <c r="B9" s="12">
        <v>15505083</v>
      </c>
      <c r="C9" s="12"/>
      <c r="D9" s="12">
        <v>15981146</v>
      </c>
      <c r="E9" s="12">
        <v>994090</v>
      </c>
      <c r="F9" s="12">
        <v>3505537</v>
      </c>
      <c r="G9" s="12">
        <v>4356556</v>
      </c>
      <c r="H9" s="12">
        <v>4252451</v>
      </c>
      <c r="I9" s="12">
        <v>11388872</v>
      </c>
      <c r="J9" s="12"/>
      <c r="K9" s="12"/>
      <c r="L9" s="12">
        <v>8567016</v>
      </c>
      <c r="M9" s="12"/>
      <c r="N9" s="13">
        <f t="shared" si="0"/>
        <v>64550751</v>
      </c>
    </row>
    <row r="10" spans="1:16" s="17" customFormat="1" ht="14.25" x14ac:dyDescent="0.2">
      <c r="A10" s="15" t="s">
        <v>96</v>
      </c>
      <c r="B10" s="16">
        <f>+N3+B5-B6-B7-B8-B9</f>
        <v>33719384</v>
      </c>
      <c r="C10" s="16">
        <f t="shared" ref="C10:M10" si="1">+B10+C5-C6-C7-C8-C9</f>
        <v>34021330</v>
      </c>
      <c r="D10" s="16">
        <f t="shared" si="1"/>
        <v>18278104</v>
      </c>
      <c r="E10" s="16">
        <f t="shared" si="1"/>
        <v>21418465</v>
      </c>
      <c r="F10" s="16">
        <f t="shared" si="1"/>
        <v>22269484</v>
      </c>
      <c r="G10" s="16">
        <f t="shared" si="1"/>
        <v>23493485</v>
      </c>
      <c r="H10" s="16">
        <f t="shared" si="1"/>
        <v>30981941</v>
      </c>
      <c r="I10" s="16">
        <f t="shared" si="1"/>
        <v>28066594</v>
      </c>
      <c r="J10" s="16">
        <f t="shared" si="1"/>
        <v>36055034</v>
      </c>
      <c r="K10" s="16">
        <f t="shared" si="1"/>
        <v>41807867</v>
      </c>
      <c r="L10" s="16">
        <f t="shared" si="1"/>
        <v>40807470</v>
      </c>
      <c r="M10" s="16">
        <f t="shared" si="1"/>
        <v>45588856</v>
      </c>
      <c r="N10" s="13">
        <f>N3+N5-N6-N7-N8-N9</f>
        <v>45588856</v>
      </c>
    </row>
    <row r="13" spans="1:16" x14ac:dyDescent="0.25">
      <c r="I13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35766471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49">
        <v>21468758</v>
      </c>
      <c r="C5" s="49">
        <v>11572917</v>
      </c>
      <c r="D5" s="49">
        <v>12659337</v>
      </c>
      <c r="E5" s="49">
        <v>7580218</v>
      </c>
      <c r="F5" s="49">
        <v>11918571</v>
      </c>
      <c r="G5" s="12">
        <v>7268322</v>
      </c>
      <c r="H5" s="12">
        <v>12156479</v>
      </c>
      <c r="I5" s="12">
        <v>11772091</v>
      </c>
      <c r="J5" s="12">
        <v>11252935</v>
      </c>
      <c r="K5" s="12">
        <v>14366249</v>
      </c>
      <c r="L5" s="12">
        <v>11156684</v>
      </c>
      <c r="M5" s="12">
        <v>10039163</v>
      </c>
      <c r="N5" s="13">
        <f>SUM(B5:M5)</f>
        <v>143211724</v>
      </c>
    </row>
    <row r="6" spans="1:14" x14ac:dyDescent="0.25">
      <c r="A6" s="11" t="s">
        <v>92</v>
      </c>
      <c r="B6" s="12">
        <v>498565.8</v>
      </c>
      <c r="C6" s="12">
        <v>2554516.44</v>
      </c>
      <c r="D6" s="12">
        <v>2694052</v>
      </c>
      <c r="E6" s="12">
        <v>2625564</v>
      </c>
      <c r="F6" s="12">
        <v>1019971</v>
      </c>
      <c r="G6" s="12">
        <v>4164004</v>
      </c>
      <c r="H6" s="12">
        <v>119943</v>
      </c>
      <c r="I6" s="12">
        <v>1838091</v>
      </c>
      <c r="J6" s="12">
        <v>162593</v>
      </c>
      <c r="K6" s="12"/>
      <c r="L6" s="12">
        <v>696562</v>
      </c>
      <c r="M6" s="14"/>
      <c r="N6" s="13">
        <f t="shared" ref="N6:N9" si="0">SUM(B6:M6)</f>
        <v>16373862.24</v>
      </c>
    </row>
    <row r="7" spans="1:14" x14ac:dyDescent="0.25">
      <c r="A7" s="11" t="s">
        <v>93</v>
      </c>
      <c r="B7" s="12"/>
      <c r="C7" s="12"/>
      <c r="D7" s="12"/>
      <c r="E7" s="12">
        <v>2385049</v>
      </c>
      <c r="F7" s="12"/>
      <c r="G7" s="12"/>
      <c r="H7" s="12"/>
      <c r="I7" s="12"/>
      <c r="J7" s="12"/>
      <c r="K7" s="12"/>
      <c r="L7" s="12"/>
      <c r="M7" s="14"/>
      <c r="N7" s="13">
        <f t="shared" si="0"/>
        <v>2385049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9147300</v>
      </c>
      <c r="C9" s="12">
        <v>8930973</v>
      </c>
      <c r="D9" s="12">
        <v>12666203</v>
      </c>
      <c r="E9" s="12">
        <v>29177142</v>
      </c>
      <c r="F9" s="12">
        <v>3523922</v>
      </c>
      <c r="G9" s="12">
        <v>6607457</v>
      </c>
      <c r="H9" s="12">
        <v>5708971</v>
      </c>
      <c r="I9" s="12"/>
      <c r="J9" s="12">
        <v>11410568</v>
      </c>
      <c r="K9" s="12">
        <v>19530502</v>
      </c>
      <c r="L9" s="12">
        <v>10867277</v>
      </c>
      <c r="M9" s="12">
        <v>13725427</v>
      </c>
      <c r="N9" s="13">
        <f t="shared" si="0"/>
        <v>131295742</v>
      </c>
    </row>
    <row r="10" spans="1:14" s="17" customFormat="1" ht="14.25" x14ac:dyDescent="0.2">
      <c r="A10" s="15" t="s">
        <v>96</v>
      </c>
      <c r="B10" s="16">
        <f>+N3+B5-B6-B7-B8-B9</f>
        <v>47589363.200000003</v>
      </c>
      <c r="C10" s="16">
        <f>+B10+C5-C6-C7-C8-C9</f>
        <v>47676790.760000005</v>
      </c>
      <c r="D10" s="16">
        <f t="shared" ref="D10:H10" si="1">+C10+D5-D6-D7-D8-D9</f>
        <v>44975872.760000005</v>
      </c>
      <c r="E10" s="16">
        <f t="shared" si="1"/>
        <v>18368335.760000005</v>
      </c>
      <c r="F10" s="16">
        <f t="shared" si="1"/>
        <v>25743013.760000005</v>
      </c>
      <c r="G10" s="16">
        <f t="shared" si="1"/>
        <v>22239874.760000005</v>
      </c>
      <c r="H10" s="16">
        <f t="shared" si="1"/>
        <v>28567439.760000005</v>
      </c>
      <c r="I10" s="16">
        <f t="shared" ref="I10" si="2">+H10+I5-I6-I7-I8-I9</f>
        <v>38501439.760000005</v>
      </c>
      <c r="J10" s="16">
        <f t="shared" ref="J10" si="3">+I10+J5-J6-J7-J8-J9</f>
        <v>38181213.760000005</v>
      </c>
      <c r="K10" s="16">
        <f t="shared" ref="K10:M10" si="4">+J10+K5-K6-K7-K8-K9</f>
        <v>33016960.760000005</v>
      </c>
      <c r="L10" s="16">
        <f t="shared" si="4"/>
        <v>32609805.760000005</v>
      </c>
      <c r="M10" s="16">
        <f t="shared" si="4"/>
        <v>28923541.760000005</v>
      </c>
      <c r="N10" s="13">
        <f>M10</f>
        <v>28923541.760000005</v>
      </c>
    </row>
    <row r="14" spans="1:14" x14ac:dyDescent="0.25">
      <c r="M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90" zoomScaleNormal="90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4" ht="18.75" x14ac:dyDescent="0.25">
      <c r="A2" s="1"/>
      <c r="B2" s="104" t="s">
        <v>152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4659</v>
      </c>
    </row>
    <row r="4" spans="1:14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60" t="s">
        <v>91</v>
      </c>
      <c r="B5" s="12">
        <v>4152670</v>
      </c>
      <c r="C5" s="12">
        <v>7780083</v>
      </c>
      <c r="D5" s="12">
        <v>2316114</v>
      </c>
      <c r="E5" s="12">
        <v>4067444</v>
      </c>
      <c r="F5" s="12">
        <v>2712708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/>
      <c r="M5" s="12"/>
      <c r="N5" s="13">
        <f>+SUM(B5:M5)</f>
        <v>21029019</v>
      </c>
    </row>
    <row r="6" spans="1:14" x14ac:dyDescent="0.25">
      <c r="A6" s="60" t="s">
        <v>92</v>
      </c>
      <c r="B6" s="12"/>
      <c r="C6" s="12"/>
      <c r="D6" s="12"/>
      <c r="E6" s="12">
        <v>631389</v>
      </c>
      <c r="F6" s="12">
        <v>1125164</v>
      </c>
      <c r="G6" s="12"/>
      <c r="H6" s="12"/>
      <c r="I6" s="12"/>
      <c r="J6" s="12"/>
      <c r="K6" s="12"/>
      <c r="L6" s="12"/>
      <c r="M6" s="14"/>
      <c r="N6" s="13">
        <f t="shared" ref="N6:N8" si="0">+SUM(B6:M6)</f>
        <v>1756553</v>
      </c>
    </row>
    <row r="7" spans="1:14" x14ac:dyDescent="0.25">
      <c r="A7" s="60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0" t="s">
        <v>95</v>
      </c>
      <c r="B9" s="12">
        <v>4152000</v>
      </c>
      <c r="C9" s="12">
        <v>7779323</v>
      </c>
      <c r="D9" s="12">
        <v>2316114</v>
      </c>
      <c r="E9" s="12">
        <v>3436055</v>
      </c>
      <c r="F9" s="12">
        <v>1587544</v>
      </c>
      <c r="G9" s="12"/>
      <c r="H9" s="12"/>
      <c r="I9" s="12"/>
      <c r="J9" s="12"/>
      <c r="K9" s="12"/>
      <c r="L9" s="12"/>
      <c r="M9" s="12"/>
      <c r="N9" s="13">
        <f>+SUM(B9:M9)</f>
        <v>19271036</v>
      </c>
    </row>
    <row r="10" spans="1:14" x14ac:dyDescent="0.25">
      <c r="A10" s="61" t="s">
        <v>96</v>
      </c>
      <c r="B10" s="16">
        <f>N3+B5-B6-B7-B8-B9</f>
        <v>5329</v>
      </c>
      <c r="C10" s="16">
        <f>B10+C5-C6-C7-C8-C9</f>
        <v>6089</v>
      </c>
      <c r="D10" s="16">
        <f t="shared" ref="D10:K10" si="1">C10+D5-D6-D7-D8-D9</f>
        <v>6089</v>
      </c>
      <c r="E10" s="16">
        <f t="shared" si="1"/>
        <v>6089</v>
      </c>
      <c r="F10" s="16">
        <f t="shared" si="1"/>
        <v>6089</v>
      </c>
      <c r="G10" s="16">
        <f t="shared" si="1"/>
        <v>6089</v>
      </c>
      <c r="H10" s="16">
        <f t="shared" si="1"/>
        <v>6089</v>
      </c>
      <c r="I10" s="16">
        <f t="shared" si="1"/>
        <v>6089</v>
      </c>
      <c r="J10" s="16">
        <f t="shared" si="1"/>
        <v>6089</v>
      </c>
      <c r="K10" s="16">
        <f t="shared" si="1"/>
        <v>6089</v>
      </c>
      <c r="L10" s="16"/>
      <c r="M10" s="16"/>
      <c r="N10" s="16">
        <f>N3+Z3+N5-N6-N7-N8-N9</f>
        <v>6089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38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7262205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10581589</v>
      </c>
      <c r="C5" s="12">
        <v>5887436</v>
      </c>
      <c r="D5" s="12">
        <v>8133264</v>
      </c>
      <c r="E5" s="12">
        <v>9587493</v>
      </c>
      <c r="F5" s="12">
        <v>4329395</v>
      </c>
      <c r="G5" s="12">
        <v>4876910</v>
      </c>
      <c r="H5" s="12">
        <v>3165610</v>
      </c>
      <c r="I5" s="12">
        <v>2320304</v>
      </c>
      <c r="J5" s="12">
        <v>3721080</v>
      </c>
      <c r="K5" s="12">
        <v>3886425.3600000003</v>
      </c>
      <c r="L5" s="12">
        <v>2030687</v>
      </c>
      <c r="M5" s="12">
        <v>1831814</v>
      </c>
      <c r="N5" s="13">
        <f>SUM(B5:M5)</f>
        <v>60352007.359999999</v>
      </c>
    </row>
    <row r="6" spans="1:14" x14ac:dyDescent="0.25">
      <c r="A6" s="11" t="s">
        <v>92</v>
      </c>
      <c r="B6" s="12">
        <v>915636</v>
      </c>
      <c r="C6" s="12">
        <v>230291</v>
      </c>
      <c r="D6" s="92">
        <v>1191392</v>
      </c>
      <c r="E6" s="12">
        <v>2511061</v>
      </c>
      <c r="F6" s="12">
        <v>2109873</v>
      </c>
      <c r="G6" s="12">
        <v>1657029</v>
      </c>
      <c r="H6" s="12">
        <v>722654</v>
      </c>
      <c r="I6" s="12">
        <v>732470</v>
      </c>
      <c r="J6" s="12">
        <v>734630</v>
      </c>
      <c r="K6" s="12">
        <v>230290</v>
      </c>
      <c r="L6" s="12">
        <v>923981</v>
      </c>
      <c r="M6" s="14">
        <v>1031454</v>
      </c>
      <c r="N6" s="13">
        <f t="shared" ref="N6:N9" si="0">SUM(B6:M6)</f>
        <v>12990761</v>
      </c>
    </row>
    <row r="7" spans="1:14" x14ac:dyDescent="0.25">
      <c r="A7" s="11" t="s">
        <v>93</v>
      </c>
      <c r="B7" s="12"/>
      <c r="C7" s="12"/>
      <c r="D7" s="12"/>
      <c r="E7" s="12"/>
      <c r="F7" s="12">
        <v>6432146</v>
      </c>
      <c r="G7" s="12">
        <v>89441.19</v>
      </c>
      <c r="H7" s="12"/>
      <c r="I7" s="12"/>
      <c r="J7" s="12"/>
      <c r="K7" s="12">
        <v>103691.62</v>
      </c>
      <c r="L7" s="12">
        <v>39297.19</v>
      </c>
      <c r="M7" s="14">
        <v>31782.720000000001</v>
      </c>
      <c r="N7" s="13">
        <f t="shared" si="0"/>
        <v>6696358.7200000007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3977774</v>
      </c>
      <c r="C9" s="12">
        <v>3284431</v>
      </c>
      <c r="D9" s="12">
        <v>9665953</v>
      </c>
      <c r="E9" s="12">
        <v>5657145</v>
      </c>
      <c r="F9" s="12">
        <v>6941872</v>
      </c>
      <c r="G9" s="12">
        <v>7076432</v>
      </c>
      <c r="H9" s="12"/>
      <c r="I9" s="12"/>
      <c r="J9" s="12"/>
      <c r="K9" s="12"/>
      <c r="L9" s="12">
        <f>1883112+1699357</f>
        <v>3582469</v>
      </c>
      <c r="M9" s="12">
        <v>1005627</v>
      </c>
      <c r="N9" s="13">
        <f t="shared" si="0"/>
        <v>41191703</v>
      </c>
    </row>
    <row r="10" spans="1:14" s="17" customFormat="1" ht="14.25" x14ac:dyDescent="0.2">
      <c r="A10" s="15" t="s">
        <v>96</v>
      </c>
      <c r="B10" s="16">
        <f>+N3+B5-B6-B7-B8-B9</f>
        <v>12950384</v>
      </c>
      <c r="C10" s="16">
        <f>+B10+C5-C6-C7-C8-C9</f>
        <v>15323098</v>
      </c>
      <c r="D10" s="16">
        <f t="shared" ref="D10:H10" si="1">+C10+D5-D6-D7-D8-D9</f>
        <v>12599017</v>
      </c>
      <c r="E10" s="16">
        <f t="shared" si="1"/>
        <v>14018304</v>
      </c>
      <c r="F10" s="16">
        <f t="shared" si="1"/>
        <v>2863808</v>
      </c>
      <c r="G10" s="16">
        <f t="shared" si="1"/>
        <v>-1082184.1900000004</v>
      </c>
      <c r="H10" s="16">
        <f t="shared" si="1"/>
        <v>1360771.8099999996</v>
      </c>
      <c r="I10" s="16">
        <f t="shared" ref="I10" si="2">+H10+I5-I6-I7-I8-I9</f>
        <v>2948605.8099999996</v>
      </c>
      <c r="J10" s="16">
        <f t="shared" ref="J10" si="3">+I10+J5-J6-J7-J8-J9</f>
        <v>5935055.8099999996</v>
      </c>
      <c r="K10" s="16">
        <f t="shared" ref="K10" si="4">+J10+K5-K6-K7-K8-K9</f>
        <v>9487499.5500000007</v>
      </c>
      <c r="L10" s="16">
        <f t="shared" ref="L10" si="5">+K10+L5-L6-L7-L8-L9</f>
        <v>6972439.3600000013</v>
      </c>
      <c r="M10" s="16">
        <f t="shared" ref="M10" si="6">+L10+M5-M6-M7-M8-M9</f>
        <v>6735389.6400000015</v>
      </c>
      <c r="N10" s="13">
        <f>N3+N5-N6-N7-N8-N9</f>
        <v>6735389.6400000006</v>
      </c>
    </row>
    <row r="14" spans="1:14" x14ac:dyDescent="0.25">
      <c r="B14" s="1"/>
      <c r="G14" s="29"/>
      <c r="H14" s="29"/>
      <c r="I14" s="29"/>
    </row>
    <row r="15" spans="1:14" x14ac:dyDescent="0.25">
      <c r="H15" s="29"/>
    </row>
    <row r="16" spans="1:14" x14ac:dyDescent="0.25">
      <c r="G16" s="29"/>
      <c r="H16" s="29"/>
      <c r="I16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8554687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39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20459105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3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20459105</v>
      </c>
      <c r="C10" s="16">
        <f t="shared" ref="C10:G10" si="1">B10+C5-C6-C7-C8-C9</f>
        <v>20459105</v>
      </c>
      <c r="D10" s="16">
        <f t="shared" si="1"/>
        <v>20459105</v>
      </c>
      <c r="E10" s="16">
        <f t="shared" si="1"/>
        <v>20459105</v>
      </c>
      <c r="F10" s="16">
        <f t="shared" si="1"/>
        <v>20459105</v>
      </c>
      <c r="G10" s="16">
        <f t="shared" si="1"/>
        <v>20459105</v>
      </c>
      <c r="H10" s="16">
        <f t="shared" ref="H10" si="2">G10+H5-H6-H7-H8-H9</f>
        <v>20459105</v>
      </c>
      <c r="I10" s="16">
        <f t="shared" ref="I10" si="3">H10+I5-I6-I7-I8-I9</f>
        <v>20459105</v>
      </c>
      <c r="J10" s="16">
        <f t="shared" ref="J10" si="4">I10+J5-J6-J7-J8-J9</f>
        <v>20459105</v>
      </c>
      <c r="K10" s="16">
        <f t="shared" ref="K10" si="5">J10+K5-K6-K7-K8-K9</f>
        <v>20459105</v>
      </c>
      <c r="L10" s="16"/>
      <c r="M10" s="16"/>
      <c r="N10" s="13">
        <f>N3+N5-N6-N7-N8-N9</f>
        <v>20459105</v>
      </c>
    </row>
    <row r="14" spans="1:14" x14ac:dyDescent="0.25">
      <c r="B14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9" width="13.7109375" style="5" customWidth="1"/>
    <col min="10" max="14" width="14.8554687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20085235.399999999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5934957</v>
      </c>
      <c r="C5" s="12">
        <v>1205702</v>
      </c>
      <c r="D5" s="12">
        <v>2813948</v>
      </c>
      <c r="E5" s="12">
        <v>4749929</v>
      </c>
      <c r="F5" s="12">
        <v>15438768</v>
      </c>
      <c r="G5" s="12">
        <v>9541631</v>
      </c>
      <c r="H5" s="12">
        <v>5286453</v>
      </c>
      <c r="I5" s="12">
        <v>7829455</v>
      </c>
      <c r="J5" s="12">
        <v>9224198</v>
      </c>
      <c r="K5" s="12">
        <v>11457374</v>
      </c>
      <c r="L5" s="12">
        <v>5229514</v>
      </c>
      <c r="M5" s="12"/>
      <c r="N5" s="13">
        <f>SUM(B5:M5)</f>
        <v>78711929</v>
      </c>
    </row>
    <row r="6" spans="1:14" x14ac:dyDescent="0.25">
      <c r="A6" s="11" t="s">
        <v>92</v>
      </c>
      <c r="B6" s="12">
        <v>330719</v>
      </c>
      <c r="C6" s="12"/>
      <c r="D6" s="12">
        <v>1034317</v>
      </c>
      <c r="E6" s="12">
        <v>441367</v>
      </c>
      <c r="F6" s="12">
        <v>442004</v>
      </c>
      <c r="G6" s="12">
        <v>1073947</v>
      </c>
      <c r="H6" s="12">
        <v>958971</v>
      </c>
      <c r="I6" s="12">
        <v>1114861</v>
      </c>
      <c r="J6" s="12">
        <v>955722</v>
      </c>
      <c r="K6" s="12">
        <v>925027</v>
      </c>
      <c r="L6" s="12"/>
      <c r="M6" s="14"/>
      <c r="N6" s="13">
        <f t="shared" ref="N6:N9" si="0">SUM(B6:M6)</f>
        <v>7276935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>
        <v>28677946</v>
      </c>
      <c r="H9" s="12"/>
      <c r="I9" s="12"/>
      <c r="J9" s="12">
        <v>27585000</v>
      </c>
      <c r="K9" s="12"/>
      <c r="L9" s="12"/>
      <c r="M9" s="12">
        <v>27860844</v>
      </c>
      <c r="N9" s="13">
        <f t="shared" si="0"/>
        <v>84123790</v>
      </c>
    </row>
    <row r="10" spans="1:14" s="17" customFormat="1" ht="14.25" x14ac:dyDescent="0.2">
      <c r="A10" s="15" t="s">
        <v>96</v>
      </c>
      <c r="B10" s="16">
        <f>N3+B5-B6-B7-B8-B9</f>
        <v>25689473.399999999</v>
      </c>
      <c r="C10" s="16">
        <f t="shared" ref="C10:H10" si="1">B10+C5-C6-C7-C8-C9</f>
        <v>26895175.399999999</v>
      </c>
      <c r="D10" s="16">
        <f t="shared" si="1"/>
        <v>28674806.399999999</v>
      </c>
      <c r="E10" s="16">
        <f t="shared" si="1"/>
        <v>32983368.399999999</v>
      </c>
      <c r="F10" s="16">
        <f t="shared" si="1"/>
        <v>47980132.399999999</v>
      </c>
      <c r="G10" s="16">
        <f t="shared" si="1"/>
        <v>27769870.399999999</v>
      </c>
      <c r="H10" s="16">
        <f t="shared" si="1"/>
        <v>32097352.399999999</v>
      </c>
      <c r="I10" s="16">
        <f t="shared" ref="I10" si="2">H10+I5-I6-I7-I8-I9</f>
        <v>38811946.399999999</v>
      </c>
      <c r="J10" s="16">
        <f t="shared" ref="J10" si="3">I10+J5-J6-J7-J8-J9</f>
        <v>19495422.399999999</v>
      </c>
      <c r="K10" s="16">
        <f t="shared" ref="K10:M10" si="4">J10+K5-K6-K7-K8-K9</f>
        <v>30027769.399999999</v>
      </c>
      <c r="L10" s="16">
        <f t="shared" si="4"/>
        <v>35257283.399999999</v>
      </c>
      <c r="M10" s="16">
        <f t="shared" si="4"/>
        <v>7396439.3999999985</v>
      </c>
      <c r="N10" s="13">
        <f>N3+N5-N6-N7-N8-N9</f>
        <v>7396439.400000006</v>
      </c>
    </row>
    <row r="12" spans="1:14" x14ac:dyDescent="0.25">
      <c r="F12" s="74"/>
    </row>
    <row r="13" spans="1:14" x14ac:dyDescent="0.25">
      <c r="F13" s="74"/>
    </row>
    <row r="14" spans="1:14" x14ac:dyDescent="0.25">
      <c r="D14" s="29"/>
    </row>
    <row r="15" spans="1:14" x14ac:dyDescent="0.25">
      <c r="C15" s="29"/>
      <c r="D15" s="29"/>
    </row>
    <row r="16" spans="1:14" x14ac:dyDescent="0.25">
      <c r="D16" s="29"/>
    </row>
    <row r="18" spans="4:7" x14ac:dyDescent="0.25">
      <c r="D18" s="29"/>
    </row>
    <row r="26" spans="4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29272570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29272570</v>
      </c>
      <c r="C10" s="16">
        <f t="shared" ref="C10:H10" si="1">B10+C5-C6-C7-C8-C9</f>
        <v>29272570</v>
      </c>
      <c r="D10" s="16">
        <f t="shared" si="1"/>
        <v>29272570</v>
      </c>
      <c r="E10" s="16">
        <f t="shared" si="1"/>
        <v>29272570</v>
      </c>
      <c r="F10" s="16">
        <f t="shared" si="1"/>
        <v>29272570</v>
      </c>
      <c r="G10" s="16">
        <f t="shared" si="1"/>
        <v>29272570</v>
      </c>
      <c r="H10" s="16">
        <f t="shared" si="1"/>
        <v>29272570</v>
      </c>
      <c r="I10" s="16">
        <f t="shared" ref="I10" si="2">H10+I5-I6-I7-I8-I9</f>
        <v>29272570</v>
      </c>
      <c r="J10" s="16">
        <f t="shared" ref="J10" si="3">I10+J5-J6-J7-J8-J9</f>
        <v>29272570</v>
      </c>
      <c r="K10" s="16">
        <f t="shared" ref="K10:L10" si="4">J10+K5-K6-K7-K8-K9</f>
        <v>29272570</v>
      </c>
      <c r="L10" s="16">
        <f t="shared" si="4"/>
        <v>29272570</v>
      </c>
      <c r="M10" s="16"/>
      <c r="N10" s="13">
        <f>N3+N5-N6-N7-N8-N9</f>
        <v>29272570</v>
      </c>
    </row>
    <row r="13" spans="1:14" x14ac:dyDescent="0.25">
      <c r="B13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120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121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62737266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>
        <v>500000</v>
      </c>
      <c r="F9" s="12">
        <v>500000</v>
      </c>
      <c r="G9" s="12">
        <v>500000</v>
      </c>
      <c r="H9" s="12">
        <v>500000</v>
      </c>
      <c r="I9" s="12">
        <v>500000</v>
      </c>
      <c r="J9" s="12"/>
      <c r="K9" s="12">
        <v>1000000</v>
      </c>
      <c r="L9" s="12">
        <v>500000</v>
      </c>
      <c r="M9" s="12">
        <v>500000</v>
      </c>
      <c r="N9" s="13">
        <f t="shared" si="0"/>
        <v>4500000</v>
      </c>
    </row>
    <row r="10" spans="1:14" s="17" customFormat="1" ht="14.25" x14ac:dyDescent="0.2">
      <c r="A10" s="15" t="s">
        <v>96</v>
      </c>
      <c r="B10" s="16">
        <f>N3+B5-B6-B7-B8-B9</f>
        <v>62737266</v>
      </c>
      <c r="C10" s="16">
        <f t="shared" ref="C10:H10" si="1">B10+C5-C6-C7-C8-C9</f>
        <v>62737266</v>
      </c>
      <c r="D10" s="16">
        <f t="shared" si="1"/>
        <v>62737266</v>
      </c>
      <c r="E10" s="16">
        <f t="shared" si="1"/>
        <v>62237266</v>
      </c>
      <c r="F10" s="16">
        <f t="shared" si="1"/>
        <v>61737266</v>
      </c>
      <c r="G10" s="16">
        <f t="shared" si="1"/>
        <v>61237266</v>
      </c>
      <c r="H10" s="16">
        <f t="shared" si="1"/>
        <v>60737266</v>
      </c>
      <c r="I10" s="16">
        <f t="shared" ref="I10" si="2">H10+I5-I6-I7-I8-I9</f>
        <v>60237266</v>
      </c>
      <c r="J10" s="16">
        <f t="shared" ref="J10" si="3">I10+J5-J6-J7-J8-J9</f>
        <v>60237266</v>
      </c>
      <c r="K10" s="16">
        <f t="shared" ref="K10:L10" si="4">J10+K5-K6-K7-K8-K9</f>
        <v>59237266</v>
      </c>
      <c r="L10" s="16">
        <f t="shared" si="4"/>
        <v>58737266</v>
      </c>
      <c r="M10" s="16"/>
      <c r="N10" s="13">
        <f>N3+N5-N6-N7-N8-N9</f>
        <v>58237266</v>
      </c>
    </row>
    <row r="14" spans="1:14" x14ac:dyDescent="0.25">
      <c r="B14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15890024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12223525</v>
      </c>
      <c r="C5" s="12">
        <v>5454054</v>
      </c>
      <c r="D5" s="12">
        <v>9329763</v>
      </c>
      <c r="E5" s="12">
        <v>11061617</v>
      </c>
      <c r="F5" s="12">
        <v>10980044</v>
      </c>
      <c r="G5" s="12">
        <v>11652390</v>
      </c>
      <c r="H5" s="12">
        <v>6183003</v>
      </c>
      <c r="I5" s="12">
        <v>9405601</v>
      </c>
      <c r="J5" s="12">
        <v>12092463</v>
      </c>
      <c r="K5" s="12">
        <v>7628205</v>
      </c>
      <c r="L5" s="12">
        <v>9970635</v>
      </c>
      <c r="M5" s="12">
        <v>6856922</v>
      </c>
      <c r="N5" s="13">
        <f>SUM(B5:M5)</f>
        <v>112838222</v>
      </c>
    </row>
    <row r="6" spans="1:14" x14ac:dyDescent="0.25">
      <c r="A6" s="11" t="s">
        <v>92</v>
      </c>
      <c r="B6" s="12">
        <v>1829951</v>
      </c>
      <c r="C6" s="12">
        <v>1655866</v>
      </c>
      <c r="D6" s="12">
        <v>3813102</v>
      </c>
      <c r="E6" s="12">
        <v>2290983</v>
      </c>
      <c r="F6" s="12">
        <v>1632577</v>
      </c>
      <c r="G6" s="12">
        <v>2680104</v>
      </c>
      <c r="H6" s="12">
        <v>1126733</v>
      </c>
      <c r="I6" s="12">
        <v>1356593</v>
      </c>
      <c r="J6" s="12">
        <v>683947</v>
      </c>
      <c r="K6" s="12">
        <v>3840679</v>
      </c>
      <c r="L6" s="12">
        <v>563610</v>
      </c>
      <c r="M6" s="14">
        <v>779490</v>
      </c>
      <c r="N6" s="13">
        <f t="shared" ref="N6:N8" si="0">SUM(B6:M6)</f>
        <v>22253635</v>
      </c>
    </row>
    <row r="7" spans="1:14" x14ac:dyDescent="0.25">
      <c r="A7" s="11" t="s">
        <v>93</v>
      </c>
      <c r="B7" s="12">
        <v>180145</v>
      </c>
      <c r="C7" s="12"/>
      <c r="D7" s="12"/>
      <c r="E7" s="12">
        <v>98542</v>
      </c>
      <c r="F7" s="12"/>
      <c r="G7" s="12"/>
      <c r="H7" s="12">
        <v>135451.9314</v>
      </c>
      <c r="I7" s="12"/>
      <c r="J7" s="12"/>
      <c r="K7" s="12">
        <v>109521</v>
      </c>
      <c r="L7" s="12"/>
      <c r="M7" s="14"/>
      <c r="N7" s="13">
        <f>SUM(B7:M7)</f>
        <v>523659.9314</v>
      </c>
    </row>
    <row r="8" spans="1:14" x14ac:dyDescent="0.25">
      <c r="A8" s="11" t="s">
        <v>134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 x14ac:dyDescent="0.25">
      <c r="A9" s="11" t="s">
        <v>95</v>
      </c>
      <c r="B9" s="12"/>
      <c r="C9" s="12">
        <v>26103453</v>
      </c>
      <c r="D9" s="12"/>
      <c r="E9" s="12"/>
      <c r="F9" s="12">
        <v>17986941</v>
      </c>
      <c r="G9" s="12"/>
      <c r="H9" s="12">
        <v>18184301</v>
      </c>
      <c r="I9" s="12">
        <v>5056270</v>
      </c>
      <c r="J9" s="12">
        <v>10658634</v>
      </c>
      <c r="K9" s="12">
        <v>8697482</v>
      </c>
      <c r="L9" s="77">
        <v>3779413</v>
      </c>
      <c r="M9" s="12">
        <v>10967879</v>
      </c>
      <c r="N9" s="13">
        <f>SUM(B9:M9)</f>
        <v>101434373</v>
      </c>
    </row>
    <row r="10" spans="1:14" s="17" customFormat="1" ht="14.25" x14ac:dyDescent="0.2">
      <c r="A10" s="15" t="s">
        <v>96</v>
      </c>
      <c r="B10" s="16">
        <f>+N3+B5-B6-B7-B8-B9</f>
        <v>26103453</v>
      </c>
      <c r="C10" s="16">
        <f t="shared" ref="C10:M10" si="1">+B10+C5-C6-C7-C8-C9</f>
        <v>3798188</v>
      </c>
      <c r="D10" s="16">
        <f t="shared" si="1"/>
        <v>9314849</v>
      </c>
      <c r="E10" s="16">
        <f t="shared" si="1"/>
        <v>17986941</v>
      </c>
      <c r="F10" s="16">
        <f t="shared" si="1"/>
        <v>9347467</v>
      </c>
      <c r="G10" s="16">
        <f t="shared" si="1"/>
        <v>18319753</v>
      </c>
      <c r="H10" s="16">
        <f t="shared" si="1"/>
        <v>5056270.068599999</v>
      </c>
      <c r="I10" s="16">
        <f t="shared" si="1"/>
        <v>8049008.068599999</v>
      </c>
      <c r="J10" s="16">
        <f t="shared" si="1"/>
        <v>8798890.068599999</v>
      </c>
      <c r="K10" s="16">
        <f t="shared" si="1"/>
        <v>3779413.068599999</v>
      </c>
      <c r="L10" s="16">
        <f t="shared" si="1"/>
        <v>9407025.068599999</v>
      </c>
      <c r="M10" s="16">
        <f t="shared" si="1"/>
        <v>4516578.068599999</v>
      </c>
      <c r="N10" s="13">
        <f>N3+N5-N6-N7-N8-N9</f>
        <v>4516578.068599999</v>
      </c>
    </row>
    <row r="12" spans="1:14" x14ac:dyDescent="0.25">
      <c r="I12" s="29"/>
      <c r="J12" s="29"/>
    </row>
    <row r="13" spans="1:14" x14ac:dyDescent="0.25">
      <c r="B13" s="29"/>
      <c r="C13" s="95">
        <f t="shared" ref="C13:G13" si="2">+C6/C5</f>
        <v>0.30360278794452711</v>
      </c>
      <c r="D13" s="95">
        <f t="shared" si="2"/>
        <v>0.40870298634595542</v>
      </c>
      <c r="E13" s="95">
        <f t="shared" si="2"/>
        <v>0.20711103991396557</v>
      </c>
      <c r="F13" s="95">
        <f t="shared" si="2"/>
        <v>0.14868583404583807</v>
      </c>
      <c r="G13" s="95">
        <f t="shared" si="2"/>
        <v>0.23000465998820843</v>
      </c>
      <c r="H13" s="95">
        <f>+H6/H5</f>
        <v>0.18223070569430422</v>
      </c>
      <c r="I13" s="95">
        <f>+I6/I5</f>
        <v>0.14423246318868937</v>
      </c>
      <c r="J13" s="29"/>
      <c r="N13" s="29"/>
    </row>
    <row r="14" spans="1:14" x14ac:dyDescent="0.25">
      <c r="B14" s="29"/>
      <c r="I14" s="29"/>
      <c r="J14" s="29"/>
      <c r="L14" s="29"/>
    </row>
    <row r="15" spans="1:14" x14ac:dyDescent="0.25">
      <c r="J15" s="29"/>
    </row>
    <row r="16" spans="1:14" x14ac:dyDescent="0.25">
      <c r="J16" s="29"/>
      <c r="L16" s="29"/>
    </row>
    <row r="17" spans="7:11" x14ac:dyDescent="0.25">
      <c r="J17" s="29"/>
    </row>
    <row r="18" spans="7:11" x14ac:dyDescent="0.25">
      <c r="K18" s="29"/>
    </row>
    <row r="26" spans="7:11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112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>
        <v>8367580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8367580</v>
      </c>
      <c r="C10" s="16">
        <f t="shared" ref="C10:G10" si="1">B10+C5-C6-C7-C8-C9</f>
        <v>8367580</v>
      </c>
      <c r="D10" s="16">
        <f t="shared" si="1"/>
        <v>8367580</v>
      </c>
      <c r="E10" s="16">
        <f t="shared" si="1"/>
        <v>8367580</v>
      </c>
      <c r="F10" s="16">
        <f t="shared" si="1"/>
        <v>8367580</v>
      </c>
      <c r="G10" s="16">
        <f t="shared" si="1"/>
        <v>8367580</v>
      </c>
      <c r="H10" s="16">
        <f t="shared" ref="H10" si="2">G10+H5-H6-H7-H8-H9</f>
        <v>8367580</v>
      </c>
      <c r="I10" s="16">
        <f t="shared" ref="I10" si="3">H10+I5-I6-I7-I8-I9</f>
        <v>8367580</v>
      </c>
      <c r="J10" s="16">
        <f t="shared" ref="J10" si="4">I10+J5-J6-J7-J8-J9</f>
        <v>8367580</v>
      </c>
      <c r="K10" s="16">
        <f t="shared" ref="K10" si="5">J10+K5-K6-K7-K8-K9</f>
        <v>8367580</v>
      </c>
      <c r="L10" s="16"/>
      <c r="M10" s="16"/>
      <c r="N10" s="13">
        <f>N3+N5-N6-N7-N8-N9</f>
        <v>8367580</v>
      </c>
    </row>
    <row r="13" spans="1:14" x14ac:dyDescent="0.25">
      <c r="B13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44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>
        <v>2099781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2099781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>
        <v>2099781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2099781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L1" sqref="L1:N1"/>
    </sheetView>
  </sheetViews>
  <sheetFormatPr defaultRowHeight="15" x14ac:dyDescent="0.25"/>
  <cols>
    <col min="1" max="1" width="18" customWidth="1"/>
    <col min="2" max="13" width="15.140625" customWidth="1"/>
    <col min="14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4" ht="18.75" x14ac:dyDescent="0.25">
      <c r="A2" s="1"/>
      <c r="B2" s="104" t="s">
        <v>150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9397382</v>
      </c>
    </row>
    <row r="4" spans="1:14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60" t="s">
        <v>91</v>
      </c>
      <c r="B5" s="12">
        <v>8510511</v>
      </c>
      <c r="C5" s="12"/>
      <c r="D5" s="12">
        <v>10947812</v>
      </c>
      <c r="E5" s="12">
        <v>13302591</v>
      </c>
      <c r="F5" s="12">
        <v>17046772</v>
      </c>
      <c r="G5" s="12">
        <v>12680739</v>
      </c>
      <c r="H5" s="12"/>
      <c r="I5" s="12">
        <v>5977446</v>
      </c>
      <c r="J5" s="12">
        <v>5977446</v>
      </c>
      <c r="K5" s="12">
        <v>2537990</v>
      </c>
      <c r="L5" s="12"/>
      <c r="M5" s="12"/>
      <c r="N5" s="13">
        <f>SUM(B5:M5)</f>
        <v>76981307</v>
      </c>
    </row>
    <row r="6" spans="1:14" x14ac:dyDescent="0.25">
      <c r="A6" s="60" t="s">
        <v>92</v>
      </c>
      <c r="B6" s="12">
        <v>704176</v>
      </c>
      <c r="C6" s="12">
        <v>1056306</v>
      </c>
      <c r="D6" s="12">
        <v>1592277</v>
      </c>
      <c r="E6" s="12">
        <v>931068</v>
      </c>
      <c r="F6" s="12">
        <v>4428493</v>
      </c>
      <c r="G6" s="12">
        <v>2641241</v>
      </c>
      <c r="H6" s="12"/>
      <c r="I6" s="12"/>
      <c r="J6" s="12">
        <v>1112710</v>
      </c>
      <c r="K6" s="12">
        <v>3406374</v>
      </c>
      <c r="L6" s="12"/>
      <c r="M6" s="14"/>
      <c r="N6" s="13">
        <f t="shared" ref="N6:N9" si="0">SUM(B6:M6)</f>
        <v>15872645</v>
      </c>
    </row>
    <row r="7" spans="1:14" x14ac:dyDescent="0.25">
      <c r="A7" s="60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0" t="s">
        <v>95</v>
      </c>
      <c r="B9" s="12"/>
      <c r="C9" s="12"/>
      <c r="D9" s="12"/>
      <c r="E9" s="12"/>
      <c r="F9" s="12"/>
      <c r="G9" s="12"/>
      <c r="H9" s="12">
        <v>32014835</v>
      </c>
      <c r="I9" s="12"/>
      <c r="J9" s="12"/>
      <c r="K9" s="12"/>
      <c r="L9" s="12">
        <v>38491209</v>
      </c>
      <c r="M9" s="12"/>
      <c r="N9" s="13">
        <f t="shared" si="0"/>
        <v>70506044</v>
      </c>
    </row>
    <row r="10" spans="1:14" x14ac:dyDescent="0.25">
      <c r="A10" s="61" t="s">
        <v>96</v>
      </c>
      <c r="B10" s="16">
        <f>N3+B5-B6-B7-B8-B9</f>
        <v>17203717</v>
      </c>
      <c r="C10" s="16">
        <f>B10+O3+C5-C6-C7-C8-C9</f>
        <v>16147411</v>
      </c>
      <c r="D10" s="16">
        <f t="shared" ref="D10:M10" si="1">C10+P3+D5-D6-D7-D8-D9</f>
        <v>25502946</v>
      </c>
      <c r="E10" s="16">
        <f t="shared" si="1"/>
        <v>37874469</v>
      </c>
      <c r="F10" s="16">
        <f t="shared" si="1"/>
        <v>50492748</v>
      </c>
      <c r="G10" s="16">
        <f t="shared" si="1"/>
        <v>60532246</v>
      </c>
      <c r="H10" s="16">
        <f t="shared" si="1"/>
        <v>28517411</v>
      </c>
      <c r="I10" s="16">
        <f t="shared" si="1"/>
        <v>34494857</v>
      </c>
      <c r="J10" s="16">
        <f t="shared" si="1"/>
        <v>39359593</v>
      </c>
      <c r="K10" s="16">
        <f t="shared" si="1"/>
        <v>38491209</v>
      </c>
      <c r="L10" s="16">
        <f t="shared" si="1"/>
        <v>0</v>
      </c>
      <c r="M10" s="16">
        <f t="shared" si="1"/>
        <v>0</v>
      </c>
      <c r="N10" s="16">
        <f>N3+N5-N6-N7-N8-N9</f>
        <v>0</v>
      </c>
    </row>
    <row r="16" spans="1:14" x14ac:dyDescent="0.25">
      <c r="G16" s="83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168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17015211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7313115</v>
      </c>
      <c r="C5" s="12"/>
      <c r="D5" s="12">
        <v>8636418</v>
      </c>
      <c r="E5" s="12">
        <v>8560867</v>
      </c>
      <c r="F5" s="12">
        <v>10866296</v>
      </c>
      <c r="G5" s="12">
        <v>9937281</v>
      </c>
      <c r="H5" s="12">
        <v>3622444</v>
      </c>
      <c r="I5" s="12">
        <v>16222348</v>
      </c>
      <c r="J5" s="12">
        <v>13103613</v>
      </c>
      <c r="K5" s="12">
        <v>17790875</v>
      </c>
      <c r="L5" s="12">
        <v>12928690</v>
      </c>
      <c r="M5" s="12">
        <v>1602326</v>
      </c>
      <c r="N5" s="13">
        <f>SUM(B5:M5)</f>
        <v>110584273</v>
      </c>
    </row>
    <row r="6" spans="1:14" x14ac:dyDescent="0.25">
      <c r="A6" s="11" t="s">
        <v>92</v>
      </c>
      <c r="B6" s="12"/>
      <c r="C6" s="12">
        <v>61586</v>
      </c>
      <c r="D6" s="12">
        <v>230291</v>
      </c>
      <c r="E6" s="12">
        <v>652709</v>
      </c>
      <c r="F6" s="12">
        <v>280189</v>
      </c>
      <c r="G6" s="12">
        <v>529255</v>
      </c>
      <c r="H6" s="12">
        <v>249768</v>
      </c>
      <c r="I6" s="12">
        <v>503070</v>
      </c>
      <c r="J6" s="12">
        <v>403077</v>
      </c>
      <c r="K6" s="12">
        <v>719396</v>
      </c>
      <c r="L6" s="12">
        <v>411988</v>
      </c>
      <c r="M6" s="14">
        <v>76982</v>
      </c>
      <c r="N6" s="13">
        <f t="shared" ref="N6:N9" si="0">SUM(B6:M6)</f>
        <v>4118311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>
        <v>617291.32399999991</v>
      </c>
      <c r="J7" s="12"/>
      <c r="K7" s="12"/>
      <c r="L7" s="12">
        <v>250334.03999999998</v>
      </c>
      <c r="M7" s="14">
        <v>30506.880000000001</v>
      </c>
      <c r="N7" s="13">
        <f t="shared" si="0"/>
        <v>898132.24399999983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>
        <v>32672867</v>
      </c>
      <c r="G9" s="12"/>
      <c r="H9" s="12"/>
      <c r="I9" s="12">
        <v>30247274.876000002</v>
      </c>
      <c r="J9" s="12">
        <v>15719278</v>
      </c>
      <c r="K9" s="12"/>
      <c r="L9" s="12">
        <v>29772015</v>
      </c>
      <c r="M9" s="12">
        <v>12013057</v>
      </c>
      <c r="N9" s="13">
        <f t="shared" si="0"/>
        <v>120424491.876</v>
      </c>
    </row>
    <row r="10" spans="1:14" s="17" customFormat="1" ht="14.25" x14ac:dyDescent="0.2">
      <c r="A10" s="15" t="s">
        <v>96</v>
      </c>
      <c r="B10" s="16">
        <f>+N3+B5-B6-B7-B8-B9</f>
        <v>24328326</v>
      </c>
      <c r="C10" s="16">
        <f t="shared" ref="C10:H10" si="1">+B10+C5-C6-C7-C8-C9</f>
        <v>24266740</v>
      </c>
      <c r="D10" s="16">
        <f t="shared" si="1"/>
        <v>32672867</v>
      </c>
      <c r="E10" s="16">
        <f t="shared" si="1"/>
        <v>40581025</v>
      </c>
      <c r="F10" s="16">
        <f t="shared" si="1"/>
        <v>18494265</v>
      </c>
      <c r="G10" s="16">
        <f t="shared" si="1"/>
        <v>27902291</v>
      </c>
      <c r="H10" s="16">
        <f t="shared" si="1"/>
        <v>31274967</v>
      </c>
      <c r="I10" s="16">
        <f t="shared" ref="I10" si="2">+H10+I5-I6-I7-I8-I9</f>
        <v>16129678.799999997</v>
      </c>
      <c r="J10" s="16">
        <f t="shared" ref="J10" si="3">+I10+J5-J6-J7-J8-J9</f>
        <v>13110936.799999997</v>
      </c>
      <c r="K10" s="16">
        <f t="shared" ref="K10" si="4">+J10+K5-K6-K7-K8-K9</f>
        <v>30182415.799999997</v>
      </c>
      <c r="L10" s="16">
        <f t="shared" ref="L10" si="5">+K10+L5-L6-L7-L8-L9</f>
        <v>12676768.759999998</v>
      </c>
      <c r="M10" s="16">
        <f t="shared" ref="M10" si="6">+L10+M5-M6-M7-M8-M9</f>
        <v>2158548.8799999971</v>
      </c>
      <c r="N10" s="13">
        <f>N3+N5-N6-N7-N8-N9</f>
        <v>2158548.8799999952</v>
      </c>
    </row>
    <row r="14" spans="1:14" x14ac:dyDescent="0.25">
      <c r="H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47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1990081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3342999</v>
      </c>
      <c r="C5" s="12"/>
      <c r="D5" s="12">
        <v>6188227</v>
      </c>
      <c r="E5" s="12">
        <v>3644758</v>
      </c>
      <c r="F5" s="12">
        <v>1959355</v>
      </c>
      <c r="G5" s="12">
        <v>7016795</v>
      </c>
      <c r="H5" s="12">
        <v>2173536</v>
      </c>
      <c r="I5" s="12">
        <v>2434893</v>
      </c>
      <c r="J5" s="12">
        <v>2492748</v>
      </c>
      <c r="K5" s="12"/>
      <c r="L5" s="12">
        <v>1470219</v>
      </c>
      <c r="M5" s="12"/>
      <c r="N5" s="13">
        <f>SUM(B5:M5)</f>
        <v>30723530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>
        <v>15166065</v>
      </c>
      <c r="I9" s="12">
        <v>11149686</v>
      </c>
      <c r="J9" s="12"/>
      <c r="K9" s="12"/>
      <c r="L9" s="12">
        <v>4927640</v>
      </c>
      <c r="M9" s="12"/>
      <c r="N9" s="13">
        <f t="shared" si="0"/>
        <v>31243391</v>
      </c>
    </row>
    <row r="10" spans="1:14" s="17" customFormat="1" ht="14.25" x14ac:dyDescent="0.2">
      <c r="A10" s="15" t="s">
        <v>96</v>
      </c>
      <c r="B10" s="16">
        <f>N3+B5-B6-B7-B8-B9</f>
        <v>5333080</v>
      </c>
      <c r="C10" s="16">
        <f>B10+C5-C6-C7-C8-C9</f>
        <v>5333080</v>
      </c>
      <c r="D10" s="16">
        <f t="shared" ref="D10:H10" si="1">C10+D5-D6-D7-D8-D9</f>
        <v>11521307</v>
      </c>
      <c r="E10" s="16">
        <f t="shared" si="1"/>
        <v>15166065</v>
      </c>
      <c r="F10" s="16">
        <f t="shared" si="1"/>
        <v>17125420</v>
      </c>
      <c r="G10" s="16">
        <f t="shared" si="1"/>
        <v>24142215</v>
      </c>
      <c r="H10" s="16">
        <f t="shared" si="1"/>
        <v>11149686</v>
      </c>
      <c r="I10" s="16">
        <f t="shared" ref="I10" si="2">H10+I5-I6-I7-I8-I9</f>
        <v>2434893</v>
      </c>
      <c r="J10" s="16">
        <f t="shared" ref="J10" si="3">I10+J5-J6-J7-J8-J9</f>
        <v>4927641</v>
      </c>
      <c r="K10" s="16">
        <f t="shared" ref="K10:M10" si="4">J10+K5-K6-K7-K8-K9</f>
        <v>4927641</v>
      </c>
      <c r="L10" s="16">
        <f t="shared" si="4"/>
        <v>1470220</v>
      </c>
      <c r="M10" s="16">
        <f t="shared" si="4"/>
        <v>1470220</v>
      </c>
      <c r="N10" s="13">
        <f>N3+N5-N6-N7-N8-N9</f>
        <v>1470220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49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50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32924745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21432851</v>
      </c>
      <c r="C5" s="12">
        <v>0</v>
      </c>
      <c r="D5" s="12">
        <v>3163860</v>
      </c>
      <c r="E5" s="12">
        <v>35799729</v>
      </c>
      <c r="F5" s="12">
        <v>29199770</v>
      </c>
      <c r="G5" s="12">
        <v>20214164</v>
      </c>
      <c r="H5" s="12">
        <v>20775244</v>
      </c>
      <c r="I5" s="12">
        <v>26829972</v>
      </c>
      <c r="J5" s="12">
        <v>18955515</v>
      </c>
      <c r="K5" s="12">
        <v>21502447</v>
      </c>
      <c r="L5" s="12">
        <v>14794268</v>
      </c>
      <c r="M5" s="12">
        <v>20094225</v>
      </c>
      <c r="N5" s="13">
        <f>SUM(B5:M5)</f>
        <v>232762045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>
        <v>439078</v>
      </c>
      <c r="K6" s="12"/>
      <c r="L6" s="12">
        <v>288125</v>
      </c>
      <c r="M6" s="14"/>
      <c r="N6" s="13">
        <f t="shared" ref="N6:N9" si="0">SUM(B6:M6)</f>
        <v>727203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32924745</v>
      </c>
      <c r="C9" s="12">
        <v>21432851</v>
      </c>
      <c r="D9" s="12"/>
      <c r="E9" s="12">
        <v>3163860</v>
      </c>
      <c r="F9" s="12">
        <v>35799729</v>
      </c>
      <c r="G9" s="12">
        <v>29199770</v>
      </c>
      <c r="H9" s="12">
        <v>20214164</v>
      </c>
      <c r="I9" s="12">
        <v>20775244</v>
      </c>
      <c r="J9" s="12">
        <v>26829972</v>
      </c>
      <c r="K9" s="12">
        <v>18516437</v>
      </c>
      <c r="L9" s="12">
        <v>21502447</v>
      </c>
      <c r="M9" s="12">
        <v>14794268</v>
      </c>
      <c r="N9" s="13">
        <f t="shared" si="0"/>
        <v>245153487</v>
      </c>
    </row>
    <row r="10" spans="1:14" s="17" customFormat="1" ht="14.25" x14ac:dyDescent="0.2">
      <c r="A10" s="15" t="s">
        <v>96</v>
      </c>
      <c r="B10" s="16">
        <f>N3+B5-B6-B7-B8-B9</f>
        <v>21432851</v>
      </c>
      <c r="C10" s="16">
        <f t="shared" ref="C10:M10" si="1">B10+O3+C5-C6-C7-C8-C9</f>
        <v>0</v>
      </c>
      <c r="D10" s="16">
        <f t="shared" si="1"/>
        <v>3163860</v>
      </c>
      <c r="E10" s="16">
        <f t="shared" si="1"/>
        <v>35799729</v>
      </c>
      <c r="F10" s="16">
        <f t="shared" si="1"/>
        <v>29199770</v>
      </c>
      <c r="G10" s="16">
        <f t="shared" si="1"/>
        <v>20214164</v>
      </c>
      <c r="H10" s="16">
        <f t="shared" si="1"/>
        <v>20775244</v>
      </c>
      <c r="I10" s="16">
        <f t="shared" si="1"/>
        <v>26829972</v>
      </c>
      <c r="J10" s="16">
        <f t="shared" si="1"/>
        <v>18516437</v>
      </c>
      <c r="K10" s="16">
        <f t="shared" si="1"/>
        <v>21502447</v>
      </c>
      <c r="L10" s="16">
        <f t="shared" si="1"/>
        <v>14506143</v>
      </c>
      <c r="M10" s="16">
        <f t="shared" si="1"/>
        <v>19806100</v>
      </c>
      <c r="N10" s="13">
        <f>N3+N5-N6-N7-N8-N9</f>
        <v>19806100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10" sqref="D10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51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1745053</v>
      </c>
      <c r="C5" s="12"/>
      <c r="D5" s="12">
        <v>1377566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3122619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1745053</v>
      </c>
      <c r="C9" s="12"/>
      <c r="D9" s="12">
        <v>1377566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3122619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J17" sqref="J17"/>
    </sheetView>
  </sheetViews>
  <sheetFormatPr defaultColWidth="9.140625" defaultRowHeight="15" x14ac:dyDescent="0.25"/>
  <cols>
    <col min="1" max="1" width="18.855468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53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12" spans="1:14" x14ac:dyDescent="0.25">
      <c r="C12" s="1"/>
    </row>
    <row r="14" spans="1:14" x14ac:dyDescent="0.25">
      <c r="H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85" zoomScaleNormal="85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4" ht="18.75" x14ac:dyDescent="0.25">
      <c r="A2" s="1"/>
      <c r="B2" s="104" t="s">
        <v>148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1104505</v>
      </c>
    </row>
    <row r="4" spans="1:14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ht="15.75" x14ac:dyDescent="0.25">
      <c r="A5" s="60" t="s">
        <v>91</v>
      </c>
      <c r="B5" s="12">
        <v>373480</v>
      </c>
      <c r="C5" s="12">
        <v>0</v>
      </c>
      <c r="D5" s="12">
        <v>494332</v>
      </c>
      <c r="E5" s="12">
        <v>0</v>
      </c>
      <c r="F5" s="12">
        <v>0</v>
      </c>
      <c r="G5" s="51">
        <v>863104</v>
      </c>
      <c r="H5" s="12">
        <v>0</v>
      </c>
      <c r="I5" s="12">
        <v>773005</v>
      </c>
      <c r="J5" s="12">
        <v>0</v>
      </c>
      <c r="K5" s="12">
        <v>0</v>
      </c>
      <c r="L5" s="12">
        <v>0</v>
      </c>
      <c r="M5" s="12">
        <v>0</v>
      </c>
      <c r="N5" s="13">
        <f>SUM(B5:M5)</f>
        <v>2503921</v>
      </c>
    </row>
    <row r="6" spans="1:14" ht="15.75" x14ac:dyDescent="0.25">
      <c r="A6" s="60" t="s">
        <v>92</v>
      </c>
      <c r="B6" s="88">
        <v>673710</v>
      </c>
      <c r="C6" s="89">
        <v>339900</v>
      </c>
      <c r="D6" s="12">
        <v>486466</v>
      </c>
      <c r="E6" s="12">
        <v>602036</v>
      </c>
      <c r="F6" s="12"/>
      <c r="G6" s="12">
        <v>370616</v>
      </c>
      <c r="H6" s="12"/>
      <c r="I6" s="12">
        <v>290114</v>
      </c>
      <c r="J6" s="12"/>
      <c r="K6" s="12"/>
      <c r="L6" s="12"/>
      <c r="M6" s="14"/>
      <c r="N6" s="13">
        <f t="shared" ref="N6:N8" si="0">SUM(B6:M6)</f>
        <v>2762842</v>
      </c>
    </row>
    <row r="7" spans="1:14" x14ac:dyDescent="0.25">
      <c r="A7" s="60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0" t="s">
        <v>95</v>
      </c>
      <c r="B9" s="12">
        <v>1104505</v>
      </c>
      <c r="C9" s="12"/>
      <c r="D9" s="12"/>
      <c r="E9" s="12">
        <v>494332</v>
      </c>
      <c r="F9" s="12"/>
      <c r="G9" s="12">
        <v>863104</v>
      </c>
      <c r="H9" s="12"/>
      <c r="I9" s="12"/>
      <c r="J9" s="12"/>
      <c r="K9" s="12"/>
      <c r="L9" s="12"/>
      <c r="M9" s="12"/>
      <c r="N9" s="13">
        <f>SUM(B9:M9)</f>
        <v>2461941</v>
      </c>
    </row>
    <row r="10" spans="1:14" x14ac:dyDescent="0.25">
      <c r="A10" s="61" t="s">
        <v>96</v>
      </c>
      <c r="B10" s="16">
        <f>N3+B5-B6-B7-B8-B9</f>
        <v>-300230</v>
      </c>
      <c r="C10" s="16">
        <f>B10+C5-C6-C7-C8-C9</f>
        <v>-640130</v>
      </c>
      <c r="D10" s="16">
        <f t="shared" ref="D10:I10" si="1">C10+D5-D6-D7-D8-D9</f>
        <v>-632264</v>
      </c>
      <c r="E10" s="16">
        <f t="shared" si="1"/>
        <v>-1728632</v>
      </c>
      <c r="F10" s="16">
        <f t="shared" si="1"/>
        <v>-1728632</v>
      </c>
      <c r="G10" s="16">
        <f t="shared" si="1"/>
        <v>-2099248</v>
      </c>
      <c r="H10" s="16">
        <f t="shared" si="1"/>
        <v>-2099248</v>
      </c>
      <c r="I10" s="16">
        <f t="shared" si="1"/>
        <v>-1616357</v>
      </c>
      <c r="J10" s="16">
        <f t="shared" ref="J10" si="2">I10+J5-J6-J7-J8-J9</f>
        <v>-1616357</v>
      </c>
      <c r="K10" s="16">
        <f t="shared" ref="K10" si="3">J10+K5-K6-K7-K8-K9</f>
        <v>-1616357</v>
      </c>
      <c r="L10" s="16"/>
      <c r="M10" s="16"/>
      <c r="N10" s="16">
        <f>N3+Z3+N5-N6-N7-N8-N9</f>
        <v>-1616357</v>
      </c>
    </row>
    <row r="13" spans="1:14" x14ac:dyDescent="0.25">
      <c r="E13" s="83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54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21981728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>
        <v>569727</v>
      </c>
      <c r="N5" s="13">
        <f>SUM(B5:M5)</f>
        <v>569727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>
        <v>569727</v>
      </c>
      <c r="N9" s="13">
        <f t="shared" si="0"/>
        <v>569727</v>
      </c>
    </row>
    <row r="10" spans="1:14" s="17" customFormat="1" ht="14.25" x14ac:dyDescent="0.2">
      <c r="A10" s="15" t="s">
        <v>96</v>
      </c>
      <c r="B10" s="16">
        <f>N3+B5-B6-B7-B8-B9</f>
        <v>21981728</v>
      </c>
      <c r="C10" s="16">
        <f t="shared" ref="C10:G10" si="1">B10+C5-C6-C7-C8-C9</f>
        <v>21981728</v>
      </c>
      <c r="D10" s="16">
        <f t="shared" si="1"/>
        <v>21981728</v>
      </c>
      <c r="E10" s="16">
        <f t="shared" si="1"/>
        <v>21981728</v>
      </c>
      <c r="F10" s="16">
        <f t="shared" si="1"/>
        <v>21981728</v>
      </c>
      <c r="G10" s="16">
        <f t="shared" si="1"/>
        <v>21981728</v>
      </c>
      <c r="H10" s="16">
        <f t="shared" ref="H10" si="2">G10+H5-H6-H7-H8-H9</f>
        <v>21981728</v>
      </c>
      <c r="I10" s="16">
        <f t="shared" ref="I10" si="3">H10+I5-I6-I7-I8-I9</f>
        <v>21981728</v>
      </c>
      <c r="J10" s="16">
        <f t="shared" ref="J10" si="4">I10+J5-J6-J7-J8-J9</f>
        <v>21981728</v>
      </c>
      <c r="K10" s="16">
        <f t="shared" ref="K10" si="5">J10+K5-K6-K7-K8-K9</f>
        <v>21981728</v>
      </c>
      <c r="L10" s="16">
        <f t="shared" ref="L10" si="6">K10+L5-L6-L7-L8-L9</f>
        <v>21981728</v>
      </c>
      <c r="M10" s="16">
        <f t="shared" ref="M10" si="7">L10+M5-M6-M7-M8-M9</f>
        <v>21981728</v>
      </c>
      <c r="N10" s="13">
        <f>N3+N5-N6-N7-N8-N9</f>
        <v>21981728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8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107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9460897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4245939</v>
      </c>
      <c r="C5" s="12">
        <v>2989437.84</v>
      </c>
      <c r="D5" s="12">
        <v>2182272</v>
      </c>
      <c r="E5" s="12">
        <v>1679648</v>
      </c>
      <c r="F5" s="12">
        <v>784994</v>
      </c>
      <c r="G5" s="12">
        <v>1615257</v>
      </c>
      <c r="H5" s="12">
        <v>1880784</v>
      </c>
      <c r="I5" s="12">
        <v>3043015</v>
      </c>
      <c r="J5" s="12">
        <v>2870386</v>
      </c>
      <c r="K5" s="12">
        <v>0</v>
      </c>
      <c r="L5" s="12">
        <v>853286</v>
      </c>
      <c r="M5" s="12">
        <v>0</v>
      </c>
      <c r="N5" s="13">
        <f>SUM(B5:M5)</f>
        <v>22145018.84</v>
      </c>
    </row>
    <row r="6" spans="1:14" x14ac:dyDescent="0.25">
      <c r="A6" s="11" t="s">
        <v>92</v>
      </c>
      <c r="B6" s="12">
        <v>157172</v>
      </c>
      <c r="C6" s="12"/>
      <c r="D6" s="12">
        <v>562917</v>
      </c>
      <c r="E6" s="12">
        <v>329998</v>
      </c>
      <c r="F6" s="12">
        <v>117544</v>
      </c>
      <c r="G6" s="12">
        <v>235088</v>
      </c>
      <c r="H6" s="12"/>
      <c r="I6" s="12"/>
      <c r="J6" s="12"/>
      <c r="K6" s="12"/>
      <c r="L6" s="12"/>
      <c r="M6" s="14"/>
      <c r="N6" s="13">
        <f t="shared" ref="N6:N9" si="0">SUM(B6:M6)</f>
        <v>1402719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19348265</v>
      </c>
      <c r="C9" s="12"/>
      <c r="D9" s="12"/>
      <c r="E9" s="12"/>
      <c r="F9" s="12"/>
      <c r="G9" s="12"/>
      <c r="H9" s="12">
        <v>2207461</v>
      </c>
      <c r="I9" s="12">
        <v>1880784</v>
      </c>
      <c r="J9" s="12">
        <v>3043015</v>
      </c>
      <c r="K9" s="12">
        <v>3043015</v>
      </c>
      <c r="L9" s="12"/>
      <c r="M9" s="12"/>
      <c r="N9" s="13">
        <f t="shared" si="0"/>
        <v>29522540</v>
      </c>
    </row>
    <row r="10" spans="1:14" s="17" customFormat="1" ht="14.25" x14ac:dyDescent="0.2">
      <c r="A10" s="15" t="s">
        <v>96</v>
      </c>
      <c r="B10" s="16">
        <f>N3+B5-B6-B7-B8-B9</f>
        <v>-5798601</v>
      </c>
      <c r="C10" s="16">
        <f>B10+C5-C6-C7-C9-C8</f>
        <v>-2809163.16</v>
      </c>
      <c r="D10" s="16">
        <f>C10+D5-D6-D7-D9-D8</f>
        <v>-1189808.1600000001</v>
      </c>
      <c r="E10" s="16">
        <f t="shared" ref="E10:M10" si="1">D10+E5-E6-E7-E8-E9</f>
        <v>159841.83999999985</v>
      </c>
      <c r="F10" s="16">
        <f t="shared" si="1"/>
        <v>827291.83999999985</v>
      </c>
      <c r="G10" s="16">
        <f t="shared" si="1"/>
        <v>2207460.84</v>
      </c>
      <c r="H10" s="16">
        <f t="shared" si="1"/>
        <v>1880783.8399999999</v>
      </c>
      <c r="I10" s="16">
        <f t="shared" si="1"/>
        <v>3043014.84</v>
      </c>
      <c r="J10" s="16">
        <f t="shared" si="1"/>
        <v>2870385.84</v>
      </c>
      <c r="K10" s="16">
        <f t="shared" si="1"/>
        <v>-172629.16000000015</v>
      </c>
      <c r="L10" s="16">
        <f t="shared" si="1"/>
        <v>680656.83999999985</v>
      </c>
      <c r="M10" s="16">
        <f t="shared" si="1"/>
        <v>680656.83999999985</v>
      </c>
      <c r="N10" s="13">
        <f>N3+N5-N6-N7-N8-N9</f>
        <v>680656.83999999985</v>
      </c>
    </row>
    <row r="12" spans="1:14" ht="60" x14ac:dyDescent="0.25">
      <c r="B12" s="5" t="s">
        <v>163</v>
      </c>
    </row>
    <row r="14" spans="1:14" x14ac:dyDescent="0.25">
      <c r="C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10" sqref="C10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57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>
        <v>1063174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1063174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>
        <v>1063174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1063174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14997792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8712238</v>
      </c>
      <c r="C5" s="12">
        <v>0</v>
      </c>
      <c r="D5" s="12">
        <v>5109520</v>
      </c>
      <c r="E5" s="12">
        <v>4255268</v>
      </c>
      <c r="F5" s="12">
        <v>3969388</v>
      </c>
      <c r="G5" s="12">
        <v>4071594</v>
      </c>
      <c r="H5" s="12">
        <v>5008671</v>
      </c>
      <c r="I5" s="12">
        <v>0</v>
      </c>
      <c r="J5" s="12">
        <v>3399661</v>
      </c>
      <c r="K5" s="12">
        <v>3399661</v>
      </c>
      <c r="L5" s="12">
        <v>3444554</v>
      </c>
      <c r="M5" s="12">
        <v>0</v>
      </c>
      <c r="N5" s="13">
        <f>SUM(B5:M5)</f>
        <v>41370555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>
        <v>189285</v>
      </c>
      <c r="J6" s="12"/>
      <c r="K6" s="12"/>
      <c r="L6" s="12">
        <v>75341</v>
      </c>
      <c r="M6" s="14"/>
      <c r="N6" s="13">
        <f t="shared" ref="N6:N9" si="0">SUM(B6:M6)</f>
        <v>264626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>
        <v>8712238</v>
      </c>
      <c r="E9" s="12"/>
      <c r="F9" s="12">
        <v>9364788</v>
      </c>
      <c r="G9" s="12"/>
      <c r="H9" s="12">
        <v>8040982</v>
      </c>
      <c r="I9" s="12">
        <v>5008671</v>
      </c>
      <c r="J9" s="12"/>
      <c r="K9" s="12">
        <v>14997792</v>
      </c>
      <c r="L9" s="12">
        <v>6610037</v>
      </c>
      <c r="M9" s="12">
        <v>3369213</v>
      </c>
      <c r="N9" s="13">
        <f t="shared" si="0"/>
        <v>56103721</v>
      </c>
    </row>
    <row r="10" spans="1:14" s="17" customFormat="1" ht="14.25" x14ac:dyDescent="0.2">
      <c r="A10" s="15" t="s">
        <v>96</v>
      </c>
      <c r="B10" s="16">
        <f>N3+B5-B6-B7-B8-B9</f>
        <v>23710030</v>
      </c>
      <c r="C10" s="16">
        <f t="shared" ref="C10:I10" si="1">B10+O3+C5-C6-C7-C8-C9</f>
        <v>23710030</v>
      </c>
      <c r="D10" s="16">
        <f t="shared" si="1"/>
        <v>20107312</v>
      </c>
      <c r="E10" s="16">
        <f t="shared" si="1"/>
        <v>24362580</v>
      </c>
      <c r="F10" s="16">
        <f t="shared" si="1"/>
        <v>18967180</v>
      </c>
      <c r="G10" s="16">
        <f t="shared" si="1"/>
        <v>23038774</v>
      </c>
      <c r="H10" s="16">
        <f t="shared" si="1"/>
        <v>20006463</v>
      </c>
      <c r="I10" s="16">
        <f t="shared" si="1"/>
        <v>14808507</v>
      </c>
      <c r="J10" s="16">
        <f>I10+V3+J5-J6-J7-J8-J9</f>
        <v>18208168</v>
      </c>
      <c r="K10" s="16">
        <f>J10+W3+K5-K6-K7-K8-K9</f>
        <v>6610037</v>
      </c>
      <c r="L10" s="16">
        <f>K10+X3+L5-L6-L7-L8-L9</f>
        <v>3369213</v>
      </c>
      <c r="M10" s="16">
        <f t="shared" ref="M10" si="2">L10+Y3+M5-M6-M7-M8-M9</f>
        <v>0</v>
      </c>
      <c r="N10" s="13">
        <f>N3+N5-N6-N7-N8-N9</f>
        <v>0</v>
      </c>
    </row>
    <row r="13" spans="1:14" x14ac:dyDescent="0.25">
      <c r="E13" s="29"/>
      <c r="H13" s="29"/>
      <c r="I13" s="29"/>
    </row>
    <row r="14" spans="1:14" x14ac:dyDescent="0.25">
      <c r="E14" s="29"/>
    </row>
    <row r="15" spans="1:14" x14ac:dyDescent="0.25">
      <c r="G15" s="29"/>
    </row>
    <row r="19" spans="5:7" x14ac:dyDescent="0.25">
      <c r="E19" s="29"/>
    </row>
    <row r="26" spans="5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.14062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124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29407427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10165694</v>
      </c>
      <c r="C5" s="12">
        <v>4796885</v>
      </c>
      <c r="D5" s="12">
        <v>12900622</v>
      </c>
      <c r="E5" s="12">
        <v>5317115</v>
      </c>
      <c r="F5" s="12">
        <v>10778660</v>
      </c>
      <c r="G5" s="12">
        <v>3913322</v>
      </c>
      <c r="H5" s="12">
        <v>8038285</v>
      </c>
      <c r="I5" s="12">
        <v>8750323</v>
      </c>
      <c r="J5" s="64">
        <v>6311592</v>
      </c>
      <c r="K5" s="12">
        <v>2870408</v>
      </c>
      <c r="L5" s="12">
        <v>4057560</v>
      </c>
      <c r="M5" s="12">
        <v>6343855</v>
      </c>
      <c r="N5" s="13">
        <f>SUM(B5:M5)</f>
        <v>84244321</v>
      </c>
    </row>
    <row r="6" spans="1:14" ht="15.75" x14ac:dyDescent="0.25">
      <c r="A6" s="11" t="s">
        <v>92</v>
      </c>
      <c r="B6" s="12"/>
      <c r="C6" s="12">
        <v>722726</v>
      </c>
      <c r="D6" s="12">
        <v>1030333</v>
      </c>
      <c r="E6" s="44"/>
      <c r="F6" s="45">
        <v>4470934</v>
      </c>
      <c r="G6" s="45">
        <v>1422485</v>
      </c>
      <c r="H6" s="12">
        <v>1117670</v>
      </c>
      <c r="I6" s="12">
        <v>573943</v>
      </c>
      <c r="J6" s="45">
        <v>919924</v>
      </c>
      <c r="K6" s="12">
        <v>2244756</v>
      </c>
      <c r="L6" s="12">
        <v>1135813</v>
      </c>
      <c r="M6" s="14"/>
      <c r="N6" s="13">
        <f t="shared" ref="N6:N9" si="0">SUM(B6:M6)</f>
        <v>13638584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>
        <v>1726216</v>
      </c>
      <c r="J7" s="12"/>
      <c r="K7" s="12"/>
      <c r="L7" s="12"/>
      <c r="M7" s="14"/>
      <c r="N7" s="13">
        <f t="shared" si="0"/>
        <v>1726216</v>
      </c>
    </row>
    <row r="8" spans="1:14" x14ac:dyDescent="0.25">
      <c r="A8" s="11" t="s">
        <v>134</v>
      </c>
      <c r="B8" s="12"/>
      <c r="C8" s="12"/>
      <c r="D8" s="12"/>
      <c r="E8" s="12"/>
      <c r="F8" s="12"/>
      <c r="G8" s="12"/>
      <c r="H8" s="12"/>
      <c r="I8" s="12">
        <v>1080000</v>
      </c>
      <c r="J8" s="12"/>
      <c r="K8" s="12"/>
      <c r="L8" s="12"/>
      <c r="M8" s="14"/>
      <c r="N8" s="13">
        <f t="shared" si="0"/>
        <v>1080000</v>
      </c>
    </row>
    <row r="9" spans="1:14" x14ac:dyDescent="0.25">
      <c r="A9" s="11" t="s">
        <v>95</v>
      </c>
      <c r="B9" s="12"/>
      <c r="C9" s="12">
        <v>5622614</v>
      </c>
      <c r="D9" s="12"/>
      <c r="E9" s="12"/>
      <c r="F9" s="12">
        <v>24243478</v>
      </c>
      <c r="G9" s="12"/>
      <c r="H9" s="12"/>
      <c r="I9" s="12">
        <v>21151343</v>
      </c>
      <c r="J9" s="12"/>
      <c r="K9" s="12"/>
      <c r="L9" s="12">
        <v>7040037</v>
      </c>
      <c r="M9" s="12">
        <v>2777509</v>
      </c>
      <c r="N9" s="13">
        <f t="shared" si="0"/>
        <v>60834981</v>
      </c>
    </row>
    <row r="10" spans="1:14" s="17" customFormat="1" ht="14.25" x14ac:dyDescent="0.2">
      <c r="A10" s="15" t="s">
        <v>96</v>
      </c>
      <c r="B10" s="16">
        <f>N3+B5-B6-B7-B8-B9</f>
        <v>39573121</v>
      </c>
      <c r="C10" s="16">
        <f>B10+O3+C5-C6-C7-C8-C9</f>
        <v>38024666</v>
      </c>
      <c r="D10" s="16">
        <f>C10+P3+D5-D6-D7-D8-D9</f>
        <v>49894955</v>
      </c>
      <c r="E10" s="16">
        <f>D10+Q3+E5-E6-E7-E8-E9</f>
        <v>55212070</v>
      </c>
      <c r="F10" s="16">
        <f>E10+R3+F5-F6-F7-F8-F9</f>
        <v>37276318</v>
      </c>
      <c r="G10" s="16">
        <f>F10+S3+G5-G6-G7-G8-G9</f>
        <v>39767155</v>
      </c>
      <c r="H10" s="16">
        <f>G10+H5-H6-H7-H8-H9</f>
        <v>46687770</v>
      </c>
      <c r="I10" s="16">
        <f>H10+I5-I6-I7-I8-I9</f>
        <v>30906591</v>
      </c>
      <c r="J10" s="16">
        <f>I10+J5-J6-J7-J8-J9</f>
        <v>36298259</v>
      </c>
      <c r="K10" s="16">
        <f>J10+K5-K6-K7-K8-K9</f>
        <v>36923911</v>
      </c>
      <c r="L10" s="16">
        <f t="shared" ref="L10:M10" si="1">K10+L5-L6-L7-L8-L9</f>
        <v>32805621</v>
      </c>
      <c r="M10" s="16">
        <f t="shared" si="1"/>
        <v>36371967</v>
      </c>
      <c r="N10" s="13">
        <f>N3+N5-N6-N7-N8-N9</f>
        <v>36371967</v>
      </c>
    </row>
    <row r="12" spans="1:14" x14ac:dyDescent="0.25">
      <c r="I12" s="5" t="s">
        <v>172</v>
      </c>
    </row>
    <row r="13" spans="1:14" ht="30" x14ac:dyDescent="0.25">
      <c r="I13" s="5" t="s">
        <v>173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J18" sqref="J18"/>
    </sheetView>
  </sheetViews>
  <sheetFormatPr defaultColWidth="9.140625" defaultRowHeight="15" x14ac:dyDescent="0.25"/>
  <cols>
    <col min="1" max="1" width="18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59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255146343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133456858</v>
      </c>
      <c r="C5" s="12">
        <v>143106065</v>
      </c>
      <c r="D5" s="12">
        <v>81635194</v>
      </c>
      <c r="E5" s="12">
        <v>169335427</v>
      </c>
      <c r="F5" s="12">
        <v>67568398</v>
      </c>
      <c r="G5" s="12">
        <v>123572823</v>
      </c>
      <c r="H5" s="12">
        <v>121010945</v>
      </c>
      <c r="I5" s="12">
        <v>155512484</v>
      </c>
      <c r="J5" s="12">
        <v>124804129</v>
      </c>
      <c r="K5" s="12">
        <v>158617409</v>
      </c>
      <c r="L5" s="12">
        <v>136287494</v>
      </c>
      <c r="M5" s="12">
        <v>195484527</v>
      </c>
      <c r="N5" s="13">
        <f>SUM(B5:M5)</f>
        <v>1610391753</v>
      </c>
    </row>
    <row r="6" spans="1:14" x14ac:dyDescent="0.25">
      <c r="A6" s="11" t="s">
        <v>92</v>
      </c>
      <c r="B6" s="12"/>
      <c r="C6" s="12"/>
      <c r="D6" s="12">
        <v>6813861</v>
      </c>
      <c r="E6" s="12">
        <v>18456670</v>
      </c>
      <c r="F6" s="12">
        <v>17042497</v>
      </c>
      <c r="G6" s="12">
        <v>13185707</v>
      </c>
      <c r="H6" s="12">
        <v>21584154</v>
      </c>
      <c r="I6" s="12">
        <v>4230937</v>
      </c>
      <c r="J6" s="12">
        <v>2769261</v>
      </c>
      <c r="K6" s="12">
        <v>16273457</v>
      </c>
      <c r="L6" s="12">
        <v>15451709</v>
      </c>
      <c r="M6" s="14">
        <v>9232849</v>
      </c>
      <c r="N6" s="13">
        <f t="shared" ref="N6:N9" si="0">SUM(B6:M6)</f>
        <v>125041102</v>
      </c>
    </row>
    <row r="7" spans="1:14" x14ac:dyDescent="0.25">
      <c r="A7" s="11" t="s">
        <v>93</v>
      </c>
      <c r="B7" s="12">
        <v>39501771</v>
      </c>
      <c r="C7" s="12">
        <v>1620000</v>
      </c>
      <c r="D7" s="12">
        <v>3780000</v>
      </c>
      <c r="E7" s="12"/>
      <c r="F7" s="12">
        <v>2700000</v>
      </c>
      <c r="G7" s="12">
        <v>1080000</v>
      </c>
      <c r="H7" s="12"/>
      <c r="I7" s="12">
        <v>2160000</v>
      </c>
      <c r="J7" s="12">
        <v>9720000</v>
      </c>
      <c r="K7" s="12">
        <v>1620000</v>
      </c>
      <c r="L7" s="12">
        <v>2700000</v>
      </c>
      <c r="M7" s="14">
        <v>3780000</v>
      </c>
      <c r="N7" s="13">
        <f t="shared" si="0"/>
        <v>68661771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 x14ac:dyDescent="0.25">
      <c r="A9" s="11" t="s">
        <v>95</v>
      </c>
      <c r="B9" s="12">
        <v>215645272</v>
      </c>
      <c r="C9" s="12">
        <v>131836858</v>
      </c>
      <c r="D9" s="12"/>
      <c r="E9" s="12">
        <v>137112010</v>
      </c>
      <c r="F9" s="12">
        <v>209338380</v>
      </c>
      <c r="G9" s="12"/>
      <c r="H9" s="83">
        <v>157672185</v>
      </c>
      <c r="I9" s="12">
        <v>113484740</v>
      </c>
      <c r="J9" s="12">
        <v>140832676</v>
      </c>
      <c r="K9" s="12">
        <v>117870618</v>
      </c>
      <c r="L9" s="44"/>
      <c r="M9" s="12">
        <v>256386294</v>
      </c>
      <c r="N9" s="13">
        <f t="shared" si="0"/>
        <v>1480179033</v>
      </c>
    </row>
    <row r="10" spans="1:14" s="17" customFormat="1" ht="14.25" x14ac:dyDescent="0.2">
      <c r="A10" s="15" t="s">
        <v>96</v>
      </c>
      <c r="B10" s="16">
        <f>N3+B5-B6-B7-B8-B9</f>
        <v>133456158</v>
      </c>
      <c r="C10" s="16">
        <f t="shared" ref="C10:I10" si="1">B10+C5-C6-C7-C8-C9</f>
        <v>143105365</v>
      </c>
      <c r="D10" s="16">
        <f t="shared" si="1"/>
        <v>214146698</v>
      </c>
      <c r="E10" s="16">
        <f t="shared" si="1"/>
        <v>227913445</v>
      </c>
      <c r="F10" s="16">
        <f t="shared" si="1"/>
        <v>66400966</v>
      </c>
      <c r="G10" s="16">
        <f t="shared" si="1"/>
        <v>175708082</v>
      </c>
      <c r="H10" s="16">
        <f t="shared" si="1"/>
        <v>117462688</v>
      </c>
      <c r="I10" s="16">
        <f t="shared" si="1"/>
        <v>153099495</v>
      </c>
      <c r="J10" s="16">
        <f>I10+J5-J6-J7-J8-J9</f>
        <v>124581687</v>
      </c>
      <c r="K10" s="16">
        <f t="shared" ref="K10" si="2">J10+K5-K6-K7-K8-K9</f>
        <v>147435021</v>
      </c>
      <c r="L10" s="16">
        <f t="shared" ref="L10" si="3">K10+L5-L6-L7-L8-L9</f>
        <v>265570806</v>
      </c>
      <c r="M10" s="16">
        <f>L10+M5-M6-M7-M8-M9</f>
        <v>191656190</v>
      </c>
      <c r="N10" s="13">
        <f>N3+N5-N6-N7-N8-N9</f>
        <v>191656190</v>
      </c>
    </row>
    <row r="12" spans="1:14" ht="45" x14ac:dyDescent="0.25">
      <c r="B12" s="5" t="s">
        <v>162</v>
      </c>
      <c r="D12" s="5" t="s">
        <v>166</v>
      </c>
      <c r="F12" s="5" t="s">
        <v>170</v>
      </c>
      <c r="J12" s="5" t="s">
        <v>174</v>
      </c>
    </row>
    <row r="14" spans="1:14" x14ac:dyDescent="0.25">
      <c r="G14" s="29"/>
    </row>
    <row r="17" spans="7:8" x14ac:dyDescent="0.25">
      <c r="H17" s="29"/>
    </row>
    <row r="26" spans="7:8" x14ac:dyDescent="0.25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140625" style="5" customWidth="1"/>
    <col min="2" max="13" width="14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61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85">
        <v>652566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0</v>
      </c>
      <c r="C5" s="12">
        <v>0</v>
      </c>
      <c r="D5" s="12">
        <v>726101</v>
      </c>
      <c r="E5" s="12">
        <v>0</v>
      </c>
      <c r="F5" s="12">
        <v>1175729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3">
        <f>SUM(B5:M5)</f>
        <v>1901830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>
        <v>652566</v>
      </c>
      <c r="E9" s="12"/>
      <c r="F9" s="12"/>
      <c r="G9" s="12">
        <v>726101</v>
      </c>
      <c r="H9" s="12"/>
      <c r="I9" s="12"/>
      <c r="J9" s="12"/>
      <c r="K9" s="12"/>
      <c r="L9" s="12"/>
      <c r="M9" s="12"/>
      <c r="N9" s="13">
        <f t="shared" si="0"/>
        <v>1378667</v>
      </c>
    </row>
    <row r="10" spans="1:14" s="17" customFormat="1" ht="14.25" x14ac:dyDescent="0.2">
      <c r="A10" s="15" t="s">
        <v>96</v>
      </c>
      <c r="B10" s="16">
        <f>N3+B5-B6-B7-B8-B9</f>
        <v>652566</v>
      </c>
      <c r="C10" s="16">
        <f t="shared" ref="C10:K10" si="1">B10+O3+C5-C6-C7-C8-C9</f>
        <v>652566</v>
      </c>
      <c r="D10" s="16">
        <f t="shared" si="1"/>
        <v>726101</v>
      </c>
      <c r="E10" s="16">
        <f t="shared" si="1"/>
        <v>726101</v>
      </c>
      <c r="F10" s="16">
        <f t="shared" si="1"/>
        <v>1901830</v>
      </c>
      <c r="G10" s="16">
        <f t="shared" si="1"/>
        <v>1175729</v>
      </c>
      <c r="H10" s="16">
        <f t="shared" si="1"/>
        <v>1175729</v>
      </c>
      <c r="I10" s="16">
        <f t="shared" si="1"/>
        <v>1175729</v>
      </c>
      <c r="J10" s="16">
        <f t="shared" si="1"/>
        <v>1175729</v>
      </c>
      <c r="K10" s="16">
        <f t="shared" si="1"/>
        <v>1175729</v>
      </c>
      <c r="L10" s="16">
        <f t="shared" ref="L10" si="2">K10+X3+L5-L6-L7-L8-L9</f>
        <v>1175729</v>
      </c>
      <c r="M10" s="16">
        <f t="shared" ref="M10" si="3">L10+Y3+M5-M6-M7-M8-M9</f>
        <v>1175729</v>
      </c>
      <c r="N10" s="13">
        <f>N3+N5-N6-N7-N8-N9</f>
        <v>1175729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98</v>
      </c>
      <c r="C2" s="104"/>
      <c r="D2" s="104"/>
      <c r="E2" s="104"/>
      <c r="F2" s="104"/>
    </row>
    <row r="3" spans="1:14" ht="29.25" x14ac:dyDescent="0.25">
      <c r="M3" s="6" t="s">
        <v>153</v>
      </c>
      <c r="N3" s="7">
        <v>234137482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29819751</v>
      </c>
      <c r="C5" s="12">
        <v>16822719</v>
      </c>
      <c r="D5" s="12">
        <v>17774138</v>
      </c>
      <c r="E5" s="12">
        <v>16964891</v>
      </c>
      <c r="F5" s="12">
        <v>18099244</v>
      </c>
      <c r="G5" s="12">
        <v>11936195</v>
      </c>
      <c r="H5" s="12">
        <v>10057418</v>
      </c>
      <c r="I5" s="12">
        <v>7637750</v>
      </c>
      <c r="J5" s="12">
        <v>5628623</v>
      </c>
      <c r="K5" s="12">
        <v>5156715</v>
      </c>
      <c r="L5" s="12">
        <v>2653275</v>
      </c>
      <c r="M5" s="12">
        <v>2117076</v>
      </c>
      <c r="N5" s="13">
        <f>SUM(B5:M5)</f>
        <v>144667795</v>
      </c>
    </row>
    <row r="6" spans="1:14" x14ac:dyDescent="0.25">
      <c r="A6" s="11" t="s">
        <v>92</v>
      </c>
      <c r="B6" s="12">
        <v>6266660</v>
      </c>
      <c r="C6" s="12">
        <v>6593901</v>
      </c>
      <c r="D6" s="12">
        <v>8253074</v>
      </c>
      <c r="E6" s="12">
        <v>3084998</v>
      </c>
      <c r="F6" s="12">
        <v>5648049</v>
      </c>
      <c r="G6" s="12">
        <v>2423351</v>
      </c>
      <c r="H6" s="12">
        <v>2038218</v>
      </c>
      <c r="I6" s="12">
        <v>503167</v>
      </c>
      <c r="J6" s="12">
        <v>215896</v>
      </c>
      <c r="K6" s="12"/>
      <c r="L6" s="12">
        <v>323844</v>
      </c>
      <c r="M6" s="12">
        <v>346817</v>
      </c>
      <c r="N6" s="13">
        <f t="shared" ref="N6:N9" si="0">SUM(B6:M6)</f>
        <v>35697975</v>
      </c>
    </row>
    <row r="7" spans="1:14" x14ac:dyDescent="0.25">
      <c r="A7" s="11" t="s">
        <v>93</v>
      </c>
      <c r="B7" s="12"/>
      <c r="C7" s="12">
        <v>22420474</v>
      </c>
      <c r="D7" s="12"/>
      <c r="E7" s="12"/>
      <c r="F7" s="12"/>
      <c r="G7" s="12"/>
      <c r="H7" s="12"/>
      <c r="I7" s="12"/>
      <c r="J7" s="12"/>
      <c r="K7" s="12"/>
      <c r="L7" s="12"/>
      <c r="M7" s="97">
        <v>2329431</v>
      </c>
      <c r="N7" s="13">
        <f t="shared" si="0"/>
        <v>24749905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183911854</v>
      </c>
      <c r="C9" s="12">
        <v>23681313</v>
      </c>
      <c r="D9" s="12"/>
      <c r="E9" s="12"/>
      <c r="F9" s="12">
        <v>10423548</v>
      </c>
      <c r="G9" s="12"/>
      <c r="H9" s="12">
        <v>22437997</v>
      </c>
      <c r="I9" s="12">
        <v>8019200</v>
      </c>
      <c r="J9" s="12"/>
      <c r="K9" s="12">
        <v>12331414</v>
      </c>
      <c r="L9" s="12">
        <v>5156715</v>
      </c>
      <c r="M9" s="12"/>
      <c r="N9" s="13">
        <f t="shared" si="0"/>
        <v>265962041</v>
      </c>
    </row>
    <row r="10" spans="1:14" s="17" customFormat="1" ht="14.25" x14ac:dyDescent="0.2">
      <c r="A10" s="15" t="s">
        <v>96</v>
      </c>
      <c r="B10" s="16">
        <f>N3+B5-B6-B7-B8-B9</f>
        <v>73778719</v>
      </c>
      <c r="C10" s="16">
        <f>B10+C5-C6-C7-C8-C9</f>
        <v>37905750</v>
      </c>
      <c r="D10" s="16">
        <f t="shared" ref="D10:H10" si="1">C10+D5-D6-D7-D8-D9</f>
        <v>47426814</v>
      </c>
      <c r="E10" s="16">
        <f t="shared" si="1"/>
        <v>61306707</v>
      </c>
      <c r="F10" s="16">
        <f t="shared" si="1"/>
        <v>63334354</v>
      </c>
      <c r="G10" s="16">
        <f t="shared" si="1"/>
        <v>72847198</v>
      </c>
      <c r="H10" s="16">
        <f t="shared" si="1"/>
        <v>58428401</v>
      </c>
      <c r="I10" s="16">
        <f t="shared" ref="I10" si="2">H10+I5-I6-I7-I8-I9</f>
        <v>57543784</v>
      </c>
      <c r="J10" s="16">
        <f t="shared" ref="J10" si="3">I10+J5-J6-J7-J8-J9</f>
        <v>62956511</v>
      </c>
      <c r="K10" s="16">
        <f t="shared" ref="K10:M10" si="4">J10+K5-K6-K7-K8-K9</f>
        <v>55781812</v>
      </c>
      <c r="L10" s="16">
        <f t="shared" si="4"/>
        <v>52954528</v>
      </c>
      <c r="M10" s="16">
        <f t="shared" si="4"/>
        <v>52395356</v>
      </c>
      <c r="N10" s="31">
        <f>N3+N5-N6-N7-N8-N9</f>
        <v>52395356</v>
      </c>
    </row>
    <row r="11" spans="1:14" x14ac:dyDescent="0.25">
      <c r="B11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332808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ht="15.75" x14ac:dyDescent="0.25">
      <c r="A5" s="11" t="s">
        <v>91</v>
      </c>
      <c r="B5" s="90">
        <v>2717596</v>
      </c>
      <c r="C5" s="90">
        <v>435579</v>
      </c>
      <c r="D5" s="90">
        <v>827750</v>
      </c>
      <c r="E5" s="90">
        <v>745037</v>
      </c>
      <c r="F5" s="90">
        <v>694502</v>
      </c>
      <c r="G5" s="12">
        <v>597529</v>
      </c>
      <c r="H5" s="12"/>
      <c r="I5" s="12">
        <v>760476</v>
      </c>
      <c r="J5" s="12"/>
      <c r="K5" s="12"/>
      <c r="L5" s="12"/>
      <c r="M5" s="12"/>
      <c r="N5" s="13">
        <f>SUM(B5:M5)</f>
        <v>6778469</v>
      </c>
    </row>
    <row r="6" spans="1:14" x14ac:dyDescent="0.25">
      <c r="A6" s="11" t="s">
        <v>92</v>
      </c>
      <c r="B6" s="12"/>
      <c r="C6" s="12"/>
      <c r="D6" s="12"/>
      <c r="E6" s="12">
        <v>1528788</v>
      </c>
      <c r="F6" s="12">
        <v>141174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1669962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 x14ac:dyDescent="0.25">
      <c r="A9" s="11" t="s">
        <v>95</v>
      </c>
      <c r="B9" s="91">
        <v>2492538</v>
      </c>
      <c r="C9" s="91">
        <v>993445</v>
      </c>
      <c r="D9" s="91"/>
      <c r="E9" s="91">
        <v>1048611</v>
      </c>
      <c r="F9" s="12">
        <v>553328</v>
      </c>
      <c r="G9" s="12"/>
      <c r="H9" s="12"/>
      <c r="I9" s="12">
        <v>760476</v>
      </c>
      <c r="J9" s="12"/>
      <c r="K9" s="12"/>
      <c r="L9" s="12"/>
      <c r="M9" s="12"/>
      <c r="N9" s="13">
        <f t="shared" si="0"/>
        <v>5848398</v>
      </c>
    </row>
    <row r="10" spans="1:14" s="17" customFormat="1" ht="14.25" x14ac:dyDescent="0.2">
      <c r="A10" s="15" t="s">
        <v>96</v>
      </c>
      <c r="B10" s="16">
        <f>N3+B5-B6-B7-B8-B9</f>
        <v>557866</v>
      </c>
      <c r="C10" s="16">
        <f>B10+C5-C6-C7-C8-C9</f>
        <v>0</v>
      </c>
      <c r="D10" s="16">
        <f t="shared" ref="D10:H10" si="1">C10+D5-D6-D7-D8-D9</f>
        <v>827750</v>
      </c>
      <c r="E10" s="16">
        <f t="shared" si="1"/>
        <v>-1004612</v>
      </c>
      <c r="F10" s="16">
        <f t="shared" si="1"/>
        <v>-1004612</v>
      </c>
      <c r="G10" s="16">
        <f t="shared" si="1"/>
        <v>-407083</v>
      </c>
      <c r="H10" s="16">
        <f t="shared" si="1"/>
        <v>-407083</v>
      </c>
      <c r="I10" s="16">
        <f t="shared" ref="I10" si="2">H10+I5-I6-I7-I8-I9</f>
        <v>-407083</v>
      </c>
      <c r="J10" s="16">
        <f t="shared" ref="J10" si="3">I10+J5-J6-J7-J8-J9</f>
        <v>-407083</v>
      </c>
      <c r="K10" s="16">
        <f t="shared" ref="K10" si="4">J10+K5-K6-K7-K8-K9</f>
        <v>-407083</v>
      </c>
      <c r="L10" s="16"/>
      <c r="M10" s="16"/>
      <c r="N10" s="13">
        <f>N3+N5-N6-N7-N8-N9</f>
        <v>-407083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7.2851562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64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5342965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3362323</v>
      </c>
      <c r="C5" s="12">
        <v>9209781</v>
      </c>
      <c r="D5" s="12"/>
      <c r="E5" s="12">
        <v>2498513</v>
      </c>
      <c r="F5" s="12">
        <v>2637144</v>
      </c>
      <c r="G5" s="12">
        <v>0</v>
      </c>
      <c r="H5" s="12">
        <v>1176185</v>
      </c>
      <c r="I5" s="12">
        <v>2761700</v>
      </c>
      <c r="J5" s="12">
        <v>0</v>
      </c>
      <c r="K5" s="12">
        <v>0</v>
      </c>
      <c r="L5" s="12">
        <v>2446686</v>
      </c>
      <c r="M5" s="12">
        <v>0</v>
      </c>
      <c r="N5" s="13">
        <f>SUM(B5:M5)</f>
        <v>24092332</v>
      </c>
    </row>
    <row r="6" spans="1:14" ht="15.75" x14ac:dyDescent="0.25">
      <c r="A6" s="11" t="s">
        <v>92</v>
      </c>
      <c r="B6" s="12"/>
      <c r="C6" s="45">
        <v>948100</v>
      </c>
      <c r="D6" s="12">
        <v>3103161</v>
      </c>
      <c r="E6" s="12">
        <v>570763</v>
      </c>
      <c r="F6" s="12"/>
      <c r="G6" s="12"/>
      <c r="H6" s="12"/>
      <c r="I6" s="12"/>
      <c r="J6" s="12">
        <v>401577</v>
      </c>
      <c r="K6" s="12">
        <v>290749</v>
      </c>
      <c r="L6" s="12"/>
      <c r="M6" s="14"/>
      <c r="N6" s="13">
        <f t="shared" ref="N6:N9" si="0">SUM(B6:M6)</f>
        <v>5314350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>
        <v>16116738</v>
      </c>
      <c r="G9" s="12"/>
      <c r="H9" s="12"/>
      <c r="I9" s="12"/>
      <c r="J9" s="12"/>
      <c r="K9" s="12"/>
      <c r="L9" s="12"/>
      <c r="M9" s="12"/>
      <c r="N9" s="13">
        <f t="shared" si="0"/>
        <v>16116738</v>
      </c>
    </row>
    <row r="10" spans="1:14" s="17" customFormat="1" ht="14.25" x14ac:dyDescent="0.2">
      <c r="A10" s="15" t="s">
        <v>96</v>
      </c>
      <c r="B10" s="16">
        <f>N3+B5-B6-B7-B8-B9</f>
        <v>8705288</v>
      </c>
      <c r="C10" s="16">
        <f t="shared" ref="C10:M10" si="1">B10+O3+C5-C6-C7-C8-C9</f>
        <v>16966969</v>
      </c>
      <c r="D10" s="16">
        <f t="shared" si="1"/>
        <v>13863808</v>
      </c>
      <c r="E10" s="16">
        <f t="shared" si="1"/>
        <v>15791558</v>
      </c>
      <c r="F10" s="16">
        <f t="shared" si="1"/>
        <v>2311964</v>
      </c>
      <c r="G10" s="16">
        <f t="shared" si="1"/>
        <v>2311964</v>
      </c>
      <c r="H10" s="16">
        <f t="shared" si="1"/>
        <v>3488149</v>
      </c>
      <c r="I10" s="16">
        <f t="shared" si="1"/>
        <v>6249849</v>
      </c>
      <c r="J10" s="16">
        <f t="shared" si="1"/>
        <v>5848272</v>
      </c>
      <c r="K10" s="16">
        <f t="shared" si="1"/>
        <v>5557523</v>
      </c>
      <c r="L10" s="16">
        <f t="shared" si="1"/>
        <v>8004209</v>
      </c>
      <c r="M10" s="16">
        <f t="shared" si="1"/>
        <v>8004209</v>
      </c>
      <c r="N10" s="13">
        <f>N3+N5-N6-N7-N8-N9</f>
        <v>8004209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7312899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2792580</v>
      </c>
      <c r="C5" s="12">
        <v>1483769</v>
      </c>
      <c r="D5" s="12">
        <v>551607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3">
        <f>SUM(B5:M5)</f>
        <v>4827956</v>
      </c>
    </row>
    <row r="6" spans="1:14" x14ac:dyDescent="0.25">
      <c r="A6" s="11" t="s">
        <v>92</v>
      </c>
      <c r="B6" s="12">
        <v>1279586</v>
      </c>
      <c r="C6" s="12">
        <v>584086</v>
      </c>
      <c r="D6" s="12">
        <v>1531149</v>
      </c>
      <c r="E6" s="12">
        <v>126828</v>
      </c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3521649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8825893</v>
      </c>
      <c r="C10" s="16">
        <f t="shared" ref="C10:K10" si="1">B10+O3+C5-C6-C7-C8-C9</f>
        <v>9725576</v>
      </c>
      <c r="D10" s="16">
        <f t="shared" si="1"/>
        <v>8746034</v>
      </c>
      <c r="E10" s="16">
        <f t="shared" si="1"/>
        <v>8619206</v>
      </c>
      <c r="F10" s="16">
        <f t="shared" si="1"/>
        <v>8619206</v>
      </c>
      <c r="G10" s="16">
        <f t="shared" si="1"/>
        <v>8619206</v>
      </c>
      <c r="H10" s="16">
        <f t="shared" si="1"/>
        <v>8619206</v>
      </c>
      <c r="I10" s="16">
        <f t="shared" si="1"/>
        <v>8619206</v>
      </c>
      <c r="J10" s="16">
        <f t="shared" si="1"/>
        <v>8619206</v>
      </c>
      <c r="K10" s="16">
        <f t="shared" si="1"/>
        <v>8619206</v>
      </c>
      <c r="L10" s="16">
        <f t="shared" ref="L10" si="2">K10+X3+L5-L6-L7-L8-L9</f>
        <v>8619206</v>
      </c>
      <c r="M10" s="16">
        <f t="shared" ref="M10" si="3">L10+Y3+M5-M6-M7-M8-M9</f>
        <v>8619206</v>
      </c>
      <c r="N10" s="13">
        <f>N3+N5-N6-N7-N8-N9</f>
        <v>8619206</v>
      </c>
    </row>
    <row r="17" spans="7:7" x14ac:dyDescent="0.25">
      <c r="G17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5" width="9.140625" style="1"/>
    <col min="16" max="16" width="11.28515625" style="1" bestFit="1" customWidth="1"/>
    <col min="17" max="16384" width="9.140625" style="1"/>
  </cols>
  <sheetData>
    <row r="1" spans="1:17" ht="15.75" x14ac:dyDescent="0.25">
      <c r="L1" s="103" t="s">
        <v>106</v>
      </c>
      <c r="M1" s="103"/>
      <c r="N1" s="103"/>
    </row>
    <row r="2" spans="1:17" ht="18.75" x14ac:dyDescent="0.25">
      <c r="B2" s="104" t="s">
        <v>67</v>
      </c>
      <c r="C2" s="104"/>
      <c r="D2" s="104"/>
      <c r="E2" s="104"/>
      <c r="F2" s="104"/>
    </row>
    <row r="3" spans="1:17" ht="29.25" x14ac:dyDescent="0.25">
      <c r="B3" s="5" t="s">
        <v>99</v>
      </c>
      <c r="M3" s="6" t="s">
        <v>153</v>
      </c>
      <c r="N3" s="7">
        <v>36015766</v>
      </c>
      <c r="O3" s="57">
        <f>+C9-N3</f>
        <v>758822</v>
      </c>
      <c r="P3" s="57"/>
      <c r="Q3" s="57"/>
    </row>
    <row r="4" spans="1:17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7" x14ac:dyDescent="0.25">
      <c r="A5" s="11" t="s">
        <v>91</v>
      </c>
      <c r="B5" s="12">
        <v>47899663</v>
      </c>
      <c r="C5" s="12">
        <v>34800737</v>
      </c>
      <c r="D5" s="12">
        <v>39222014</v>
      </c>
      <c r="E5" s="12">
        <v>27787795</v>
      </c>
      <c r="F5" s="12">
        <v>20902412</v>
      </c>
      <c r="G5" s="12">
        <v>39002313</v>
      </c>
      <c r="H5" s="12">
        <v>53536999</v>
      </c>
      <c r="I5" s="12">
        <v>70195637</v>
      </c>
      <c r="J5" s="12">
        <v>54099247</v>
      </c>
      <c r="K5" s="12">
        <v>60672709</v>
      </c>
      <c r="L5" s="12">
        <v>52363786</v>
      </c>
      <c r="M5" s="12">
        <f>57834447-51495</f>
        <v>57782952</v>
      </c>
      <c r="N5" s="13">
        <f>SUM(B5:M5)</f>
        <v>558266264</v>
      </c>
    </row>
    <row r="6" spans="1:17" x14ac:dyDescent="0.25">
      <c r="A6" s="11" t="s">
        <v>92</v>
      </c>
      <c r="B6" s="12">
        <v>755937</v>
      </c>
      <c r="C6" s="12">
        <v>860851</v>
      </c>
      <c r="D6" s="12">
        <f>115732+1943070</f>
        <v>2058802</v>
      </c>
      <c r="E6" s="12">
        <v>229109</v>
      </c>
      <c r="F6" s="12">
        <v>1252978</v>
      </c>
      <c r="G6" s="12"/>
      <c r="H6" s="12">
        <v>863585</v>
      </c>
      <c r="I6" s="12"/>
      <c r="J6" s="12"/>
      <c r="K6" s="12"/>
      <c r="L6" s="12"/>
      <c r="M6" s="14"/>
      <c r="N6" s="13">
        <f t="shared" ref="N6:N9" si="0">SUM(B6:M6)</f>
        <v>6021262</v>
      </c>
    </row>
    <row r="7" spans="1:17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7" x14ac:dyDescent="0.25">
      <c r="A8" s="11" t="s">
        <v>131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7" x14ac:dyDescent="0.25">
      <c r="A9" s="11" t="s">
        <v>95</v>
      </c>
      <c r="B9" s="12"/>
      <c r="C9" s="12">
        <v>36774588</v>
      </c>
      <c r="D9" s="12">
        <f>80967883-758822</f>
        <v>80209061</v>
      </c>
      <c r="E9" s="12"/>
      <c r="F9" s="12">
        <v>64837630</v>
      </c>
      <c r="G9" s="12"/>
      <c r="H9" s="12">
        <v>19649453</v>
      </c>
      <c r="I9" s="12">
        <v>91675727</v>
      </c>
      <c r="J9" s="12"/>
      <c r="K9" s="12">
        <v>124294884</v>
      </c>
      <c r="L9" s="12"/>
      <c r="M9" s="12">
        <v>112985000</v>
      </c>
      <c r="N9" s="13">
        <f t="shared" si="0"/>
        <v>530426343</v>
      </c>
    </row>
    <row r="10" spans="1:17" s="17" customFormat="1" ht="14.25" x14ac:dyDescent="0.2">
      <c r="A10" s="15" t="s">
        <v>96</v>
      </c>
      <c r="B10" s="16">
        <f>+N3+B5-B6-B7-B8-B9</f>
        <v>83159492</v>
      </c>
      <c r="C10" s="16">
        <f t="shared" ref="C10:M10" si="1">+B10+C5-C6-C7-C8-C9</f>
        <v>80324790</v>
      </c>
      <c r="D10" s="16">
        <f t="shared" si="1"/>
        <v>37278941</v>
      </c>
      <c r="E10" s="16">
        <f t="shared" si="1"/>
        <v>64837627</v>
      </c>
      <c r="F10" s="16">
        <f t="shared" si="1"/>
        <v>19649431</v>
      </c>
      <c r="G10" s="16">
        <f t="shared" si="1"/>
        <v>58651744</v>
      </c>
      <c r="H10" s="16">
        <f>+G10+H5-H6-H7-H8-H9</f>
        <v>91675705</v>
      </c>
      <c r="I10" s="16">
        <f t="shared" si="1"/>
        <v>70195615</v>
      </c>
      <c r="J10" s="16">
        <f t="shared" si="1"/>
        <v>124294862</v>
      </c>
      <c r="K10" s="16">
        <f t="shared" si="1"/>
        <v>60672687</v>
      </c>
      <c r="L10" s="16">
        <f t="shared" si="1"/>
        <v>113036473</v>
      </c>
      <c r="M10" s="16">
        <f t="shared" si="1"/>
        <v>57834425</v>
      </c>
      <c r="N10" s="13">
        <f>N3+N5-N6-N7-N8-N9</f>
        <v>57834425</v>
      </c>
    </row>
    <row r="11" spans="1:17" x14ac:dyDescent="0.25">
      <c r="J11" s="29"/>
    </row>
    <row r="12" spans="1:17" x14ac:dyDescent="0.25">
      <c r="G12" s="29"/>
      <c r="H12" s="29"/>
      <c r="L12" s="29"/>
    </row>
    <row r="13" spans="1:17" x14ac:dyDescent="0.25">
      <c r="B13" s="29"/>
      <c r="K13" s="29"/>
    </row>
    <row r="14" spans="1:17" x14ac:dyDescent="0.25">
      <c r="B14" s="29">
        <f>+B5-B6</f>
        <v>47143726</v>
      </c>
      <c r="C14" s="29">
        <f>+C5-C6</f>
        <v>33939886</v>
      </c>
      <c r="D14" s="29">
        <f>+D5-D6</f>
        <v>37163212</v>
      </c>
      <c r="E14" s="29">
        <f>+E5-E6</f>
        <v>27558686</v>
      </c>
      <c r="F14" s="29">
        <f>+F5-F6</f>
        <v>19649434</v>
      </c>
      <c r="I14" s="29"/>
      <c r="J14" s="29"/>
      <c r="M14" s="29"/>
    </row>
    <row r="16" spans="1:17" x14ac:dyDescent="0.25">
      <c r="K16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68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5" width="10.28515625" style="1" bestFit="1" customWidth="1"/>
    <col min="16" max="16384" width="9.140625" style="1"/>
  </cols>
  <sheetData>
    <row r="1" spans="1:15" ht="15.75" x14ac:dyDescent="0.25">
      <c r="L1" s="103" t="s">
        <v>106</v>
      </c>
      <c r="M1" s="103"/>
      <c r="N1" s="103"/>
    </row>
    <row r="2" spans="1:15" ht="18.75" x14ac:dyDescent="0.25">
      <c r="B2" s="104" t="s">
        <v>69</v>
      </c>
      <c r="C2" s="104"/>
      <c r="D2" s="104"/>
      <c r="E2" s="104"/>
      <c r="F2" s="104"/>
    </row>
    <row r="3" spans="1:15" ht="29.25" x14ac:dyDescent="0.25">
      <c r="B3" s="5" t="s">
        <v>99</v>
      </c>
      <c r="M3" s="6" t="s">
        <v>153</v>
      </c>
      <c r="N3" s="7">
        <v>3507874</v>
      </c>
    </row>
    <row r="4" spans="1:15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5" ht="15.75" x14ac:dyDescent="0.25">
      <c r="A5" s="11" t="s">
        <v>91</v>
      </c>
      <c r="B5" s="27">
        <v>4352161</v>
      </c>
      <c r="C5" s="27">
        <v>697980</v>
      </c>
      <c r="D5" s="27">
        <v>1418932</v>
      </c>
      <c r="E5" s="27">
        <v>1694878</v>
      </c>
      <c r="F5" s="27">
        <v>2755914</v>
      </c>
      <c r="G5" s="12">
        <v>2701673</v>
      </c>
      <c r="H5" s="12">
        <v>1476100</v>
      </c>
      <c r="I5" s="12">
        <v>454046</v>
      </c>
      <c r="J5" s="12">
        <v>1811496</v>
      </c>
      <c r="K5" s="12">
        <v>2409517</v>
      </c>
      <c r="L5" s="12">
        <v>1331585</v>
      </c>
      <c r="M5" s="12">
        <v>2093405</v>
      </c>
      <c r="N5" s="13">
        <f>SUM(B5:M5)</f>
        <v>23197687</v>
      </c>
      <c r="O5" s="57"/>
    </row>
    <row r="6" spans="1:15" ht="15.75" x14ac:dyDescent="0.25">
      <c r="A6" s="11" t="s">
        <v>92</v>
      </c>
      <c r="B6" s="27">
        <v>150679</v>
      </c>
      <c r="C6" s="27">
        <v>212628</v>
      </c>
      <c r="D6" s="27">
        <v>1130538</v>
      </c>
      <c r="E6" s="27">
        <v>398876</v>
      </c>
      <c r="F6" s="27">
        <v>590693</v>
      </c>
      <c r="G6" s="12">
        <f>90069+766478</f>
        <v>856547</v>
      </c>
      <c r="H6" s="12">
        <v>161279</v>
      </c>
      <c r="I6" s="12">
        <v>150172</v>
      </c>
      <c r="J6" s="12">
        <v>297814</v>
      </c>
      <c r="K6" s="12">
        <v>236619</v>
      </c>
      <c r="L6" s="12"/>
      <c r="M6" s="14"/>
      <c r="N6" s="13">
        <f t="shared" ref="N6:N9" si="0">SUM(B6:M6)</f>
        <v>4185845</v>
      </c>
    </row>
    <row r="7" spans="1:15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95</v>
      </c>
      <c r="B9" s="12">
        <v>3507874</v>
      </c>
      <c r="C9" s="12">
        <v>4201482</v>
      </c>
      <c r="D9" s="12"/>
      <c r="E9" s="12"/>
      <c r="F9" s="12">
        <v>2069746</v>
      </c>
      <c r="G9" s="12">
        <v>2075150</v>
      </c>
      <c r="H9" s="12">
        <v>1935200</v>
      </c>
      <c r="I9" s="12">
        <v>1314823</v>
      </c>
      <c r="J9" s="12">
        <v>303875</v>
      </c>
      <c r="K9" s="12">
        <v>1513680</v>
      </c>
      <c r="L9" s="12">
        <v>2172905</v>
      </c>
      <c r="M9" s="12">
        <v>1331586</v>
      </c>
      <c r="N9" s="13">
        <f t="shared" si="0"/>
        <v>20426321</v>
      </c>
    </row>
    <row r="10" spans="1:15" s="17" customFormat="1" ht="14.25" x14ac:dyDescent="0.2">
      <c r="A10" s="15" t="s">
        <v>96</v>
      </c>
      <c r="B10" s="16">
        <f>+N3+B5-B6-B7-B8-B9</f>
        <v>4201482</v>
      </c>
      <c r="C10" s="16">
        <f t="shared" ref="C10:M10" si="1">+B10+C5-C6-C7-C8-C9</f>
        <v>485352</v>
      </c>
      <c r="D10" s="16">
        <f t="shared" si="1"/>
        <v>773746</v>
      </c>
      <c r="E10" s="16">
        <f t="shared" si="1"/>
        <v>2069748</v>
      </c>
      <c r="F10" s="16">
        <f t="shared" si="1"/>
        <v>2165223</v>
      </c>
      <c r="G10" s="16">
        <f t="shared" si="1"/>
        <v>1935199</v>
      </c>
      <c r="H10" s="16">
        <f t="shared" si="1"/>
        <v>1314820</v>
      </c>
      <c r="I10" s="16">
        <f t="shared" si="1"/>
        <v>303871</v>
      </c>
      <c r="J10" s="16">
        <f t="shared" si="1"/>
        <v>1513678</v>
      </c>
      <c r="K10" s="16">
        <f t="shared" si="1"/>
        <v>2172896</v>
      </c>
      <c r="L10" s="16">
        <f t="shared" si="1"/>
        <v>1331576</v>
      </c>
      <c r="M10" s="16">
        <f t="shared" si="1"/>
        <v>2093395</v>
      </c>
      <c r="N10" s="13">
        <f>N3+N5-N6-N7-N8-N9</f>
        <v>2093395</v>
      </c>
    </row>
    <row r="11" spans="1:15" x14ac:dyDescent="0.25">
      <c r="L11" s="29"/>
    </row>
    <row r="12" spans="1:15" x14ac:dyDescent="0.25">
      <c r="E12" s="29"/>
      <c r="I12" s="29"/>
    </row>
    <row r="13" spans="1:15" x14ac:dyDescent="0.25">
      <c r="G13" s="29"/>
    </row>
    <row r="14" spans="1:15" x14ac:dyDescent="0.25">
      <c r="F14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70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5" width="17.42578125" style="1" customWidth="1"/>
    <col min="16" max="16384" width="9.140625" style="1"/>
  </cols>
  <sheetData>
    <row r="1" spans="1:15" ht="15.75" x14ac:dyDescent="0.25">
      <c r="L1" s="103" t="s">
        <v>106</v>
      </c>
      <c r="M1" s="103"/>
      <c r="N1" s="103"/>
    </row>
    <row r="2" spans="1:15" ht="18.75" x14ac:dyDescent="0.25">
      <c r="B2" s="104" t="s">
        <v>18</v>
      </c>
      <c r="C2" s="104"/>
      <c r="D2" s="104"/>
      <c r="E2" s="104"/>
      <c r="F2" s="104"/>
    </row>
    <row r="3" spans="1:15" ht="29.25" x14ac:dyDescent="0.25">
      <c r="B3" s="5" t="s">
        <v>99</v>
      </c>
      <c r="M3" s="6" t="s">
        <v>153</v>
      </c>
      <c r="N3" s="7">
        <v>112461196</v>
      </c>
    </row>
    <row r="4" spans="1:15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5" x14ac:dyDescent="0.25">
      <c r="A5" s="11" t="s">
        <v>91</v>
      </c>
      <c r="B5" s="12">
        <v>301375788</v>
      </c>
      <c r="C5" s="12">
        <v>118900240</v>
      </c>
      <c r="D5" s="12">
        <v>103518328</v>
      </c>
      <c r="E5" s="12">
        <v>68293455</v>
      </c>
      <c r="F5" s="12">
        <v>98657976</v>
      </c>
      <c r="G5" s="12">
        <v>75084783</v>
      </c>
      <c r="H5" s="12">
        <v>96606947</v>
      </c>
      <c r="I5" s="12">
        <v>116374359</v>
      </c>
      <c r="J5" s="12">
        <v>128831535</v>
      </c>
      <c r="K5" s="12">
        <v>111640193</v>
      </c>
      <c r="L5" s="12">
        <v>112674941</v>
      </c>
      <c r="M5" s="12">
        <v>122832728</v>
      </c>
      <c r="N5" s="13">
        <f>SUM(B5:M5)</f>
        <v>1454791273</v>
      </c>
      <c r="O5" s="57"/>
    </row>
    <row r="6" spans="1:15" x14ac:dyDescent="0.25">
      <c r="A6" s="11" t="s">
        <v>92</v>
      </c>
      <c r="B6" s="12">
        <v>7516756</v>
      </c>
      <c r="C6" s="12">
        <f>232570+15311639</f>
        <v>15544209</v>
      </c>
      <c r="D6" s="12">
        <v>13353703</v>
      </c>
      <c r="E6" s="12">
        <v>20826260</v>
      </c>
      <c r="F6" s="12">
        <v>19714080</v>
      </c>
      <c r="G6" s="12">
        <v>20204603.640000001</v>
      </c>
      <c r="H6" s="12">
        <v>16908231</v>
      </c>
      <c r="I6" s="12">
        <v>12620392</v>
      </c>
      <c r="J6" s="12">
        <v>7209902</v>
      </c>
      <c r="K6" s="12">
        <v>14934098</v>
      </c>
      <c r="L6" s="12">
        <v>8247084</v>
      </c>
      <c r="M6" s="14">
        <v>16363879</v>
      </c>
      <c r="N6" s="13">
        <f t="shared" ref="N6:N9" si="0">SUM(B6:M6)</f>
        <v>173443197.63999999</v>
      </c>
    </row>
    <row r="7" spans="1:15" x14ac:dyDescent="0.25">
      <c r="A7" s="11" t="s">
        <v>93</v>
      </c>
      <c r="B7" s="12">
        <v>22405780</v>
      </c>
      <c r="C7" s="12">
        <v>31012402</v>
      </c>
      <c r="D7" s="12">
        <v>7381120</v>
      </c>
      <c r="E7" s="12"/>
      <c r="F7" s="12">
        <v>6445100</v>
      </c>
      <c r="G7" s="12">
        <v>6311964</v>
      </c>
      <c r="H7" s="12">
        <v>5797157</v>
      </c>
      <c r="I7" s="12">
        <v>7587721.3600000143</v>
      </c>
      <c r="J7" s="12"/>
      <c r="K7" s="12">
        <v>18241623</v>
      </c>
      <c r="L7" s="12">
        <v>7637992</v>
      </c>
      <c r="M7" s="14">
        <v>8247867</v>
      </c>
      <c r="N7" s="13">
        <f t="shared" si="0"/>
        <v>121068726.36000001</v>
      </c>
    </row>
    <row r="8" spans="1:15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95</v>
      </c>
      <c r="B9" s="12">
        <v>90055416</v>
      </c>
      <c r="C9" s="12">
        <v>262943483</v>
      </c>
      <c r="D9" s="12">
        <v>95878058</v>
      </c>
      <c r="E9" s="12"/>
      <c r="F9" s="12">
        <v>83719525</v>
      </c>
      <c r="G9" s="12">
        <v>41155231</v>
      </c>
      <c r="H9" s="12">
        <v>73146739</v>
      </c>
      <c r="I9" s="12">
        <v>126991174</v>
      </c>
      <c r="J9" s="12"/>
      <c r="K9" s="12">
        <v>207133977</v>
      </c>
      <c r="L9" s="12">
        <v>89068103</v>
      </c>
      <c r="M9" s="12">
        <v>96179990</v>
      </c>
      <c r="N9" s="13">
        <f t="shared" si="0"/>
        <v>1166271696</v>
      </c>
    </row>
    <row r="10" spans="1:15" s="17" customFormat="1" ht="14.25" x14ac:dyDescent="0.2">
      <c r="A10" s="15" t="s">
        <v>96</v>
      </c>
      <c r="B10" s="16">
        <f>N3+B5-B6-B7-B8-B9</f>
        <v>293859032</v>
      </c>
      <c r="C10" s="16">
        <f t="shared" ref="C10:H10" si="1">B10+C5-C6-C7-C8-C9</f>
        <v>103259178</v>
      </c>
      <c r="D10" s="16">
        <f t="shared" si="1"/>
        <v>90164625</v>
      </c>
      <c r="E10" s="16">
        <f t="shared" si="1"/>
        <v>137631820</v>
      </c>
      <c r="F10" s="16">
        <f t="shared" si="1"/>
        <v>126411091</v>
      </c>
      <c r="G10" s="16">
        <f t="shared" si="1"/>
        <v>133824075.36000001</v>
      </c>
      <c r="H10" s="16">
        <f t="shared" si="1"/>
        <v>134578895.36000001</v>
      </c>
      <c r="I10" s="16">
        <f t="shared" ref="I10" si="2">H10+I5-I6-I7-I8-I9</f>
        <v>103753967</v>
      </c>
      <c r="J10" s="16">
        <f t="shared" ref="J10" si="3">I10+J5-J6-J7-J8-J9</f>
        <v>225375600</v>
      </c>
      <c r="K10" s="16">
        <f t="shared" ref="K10:M10" si="4">J10+K5-K6-K7-K8-K9</f>
        <v>96706095</v>
      </c>
      <c r="L10" s="16">
        <f t="shared" si="4"/>
        <v>104427857</v>
      </c>
      <c r="M10" s="16">
        <f t="shared" si="4"/>
        <v>106468849</v>
      </c>
      <c r="N10" s="13">
        <f>N3+N5-N6-N7-N8-N9</f>
        <v>106468849</v>
      </c>
    </row>
    <row r="11" spans="1:15" x14ac:dyDescent="0.25">
      <c r="C11" s="29"/>
      <c r="D11" s="29"/>
      <c r="K11" s="29"/>
      <c r="M11" s="29"/>
    </row>
    <row r="12" spans="1:15" x14ac:dyDescent="0.25">
      <c r="C12" s="29"/>
      <c r="D12" s="29"/>
      <c r="G12" s="29"/>
      <c r="H12" s="29"/>
      <c r="L12" s="79"/>
      <c r="N12" s="29"/>
    </row>
    <row r="13" spans="1:15" x14ac:dyDescent="0.25">
      <c r="C13" s="29"/>
      <c r="D13" s="29"/>
      <c r="E13" s="29"/>
      <c r="H13" s="29"/>
      <c r="J13" s="29"/>
    </row>
    <row r="14" spans="1:15" x14ac:dyDescent="0.25">
      <c r="G14" s="56"/>
    </row>
    <row r="15" spans="1:15" x14ac:dyDescent="0.25">
      <c r="L15" s="29"/>
    </row>
    <row r="17" spans="7:9" x14ac:dyDescent="0.25">
      <c r="G17" s="29"/>
      <c r="I17" s="29"/>
    </row>
    <row r="18" spans="7:9" x14ac:dyDescent="0.25">
      <c r="G18" s="29"/>
    </row>
    <row r="22" spans="7:9" x14ac:dyDescent="0.25">
      <c r="H22" s="29"/>
    </row>
    <row r="24" spans="7:9" x14ac:dyDescent="0.25">
      <c r="G24" s="29"/>
    </row>
    <row r="26" spans="7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71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72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73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23107643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86">
        <v>11800867</v>
      </c>
      <c r="C5" s="86">
        <v>8702915</v>
      </c>
      <c r="D5" s="87">
        <v>5375837</v>
      </c>
      <c r="E5" s="86">
        <v>7133272</v>
      </c>
      <c r="F5" s="86">
        <v>14300713</v>
      </c>
      <c r="G5" s="86">
        <v>7906372</v>
      </c>
      <c r="H5" s="86">
        <v>5115081</v>
      </c>
      <c r="I5" s="87">
        <v>6668694</v>
      </c>
      <c r="J5" s="12">
        <v>5928760</v>
      </c>
      <c r="K5" s="12">
        <v>7584159</v>
      </c>
      <c r="L5" s="12">
        <v>4762398</v>
      </c>
      <c r="M5" s="12">
        <v>9018148</v>
      </c>
      <c r="N5" s="13">
        <f>SUM(B5:M5)</f>
        <v>94297216</v>
      </c>
    </row>
    <row r="6" spans="1:14" ht="15.75" x14ac:dyDescent="0.25">
      <c r="A6" s="11" t="s">
        <v>92</v>
      </c>
      <c r="B6" s="12">
        <v>225676</v>
      </c>
      <c r="C6" s="12"/>
      <c r="D6" s="12"/>
      <c r="E6" s="50">
        <v>169195</v>
      </c>
      <c r="F6" s="50">
        <v>311714</v>
      </c>
      <c r="G6" s="50">
        <v>365904</v>
      </c>
      <c r="H6" s="12">
        <v>1317336</v>
      </c>
      <c r="I6" s="12">
        <v>687813</v>
      </c>
      <c r="J6" s="12">
        <v>154486</v>
      </c>
      <c r="K6" s="12">
        <v>631595</v>
      </c>
      <c r="L6" s="12">
        <v>443390</v>
      </c>
      <c r="M6" s="14">
        <v>722635</v>
      </c>
      <c r="N6" s="13">
        <f t="shared" ref="N6:N9" si="0">SUM(B6:M6)</f>
        <v>5029744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>
        <v>23107643</v>
      </c>
      <c r="E9" s="12"/>
      <c r="F9" s="12"/>
      <c r="G9" s="12"/>
      <c r="H9" s="12"/>
      <c r="I9" s="12">
        <f>20278000+12340000</f>
        <v>32618000</v>
      </c>
      <c r="J9" s="12">
        <v>21529467</v>
      </c>
      <c r="K9" s="12"/>
      <c r="L9" s="12"/>
      <c r="M9" s="12">
        <v>9778626</v>
      </c>
      <c r="N9" s="13">
        <f t="shared" si="0"/>
        <v>87033736</v>
      </c>
    </row>
    <row r="10" spans="1:14" s="17" customFormat="1" ht="14.25" x14ac:dyDescent="0.2">
      <c r="A10" s="15" t="s">
        <v>96</v>
      </c>
      <c r="B10" s="16">
        <f>N3+B5-B6-B7-B8-B9</f>
        <v>34682834</v>
      </c>
      <c r="C10" s="16">
        <f t="shared" ref="C10:M10" si="1">+B10+C5-C6-C7-C8-C9</f>
        <v>43385749</v>
      </c>
      <c r="D10" s="16">
        <f t="shared" si="1"/>
        <v>25653943</v>
      </c>
      <c r="E10" s="16">
        <f t="shared" si="1"/>
        <v>32618020</v>
      </c>
      <c r="F10" s="16">
        <f t="shared" si="1"/>
        <v>46607019</v>
      </c>
      <c r="G10" s="16">
        <f t="shared" si="1"/>
        <v>54147487</v>
      </c>
      <c r="H10" s="16">
        <f t="shared" si="1"/>
        <v>57945232</v>
      </c>
      <c r="I10" s="16">
        <f t="shared" si="1"/>
        <v>31308113</v>
      </c>
      <c r="J10" s="16">
        <f t="shared" si="1"/>
        <v>15552920</v>
      </c>
      <c r="K10" s="16">
        <f t="shared" si="1"/>
        <v>22505484</v>
      </c>
      <c r="L10" s="16">
        <f t="shared" si="1"/>
        <v>26824492</v>
      </c>
      <c r="M10" s="16">
        <f t="shared" si="1"/>
        <v>25341379</v>
      </c>
      <c r="N10" s="13">
        <f>N3+N5-N6-N7-N8-N9</f>
        <v>25341379</v>
      </c>
    </row>
    <row r="14" spans="1:14" x14ac:dyDescent="0.25">
      <c r="E14" s="29"/>
    </row>
    <row r="15" spans="1:14" x14ac:dyDescent="0.25">
      <c r="E15" s="29"/>
    </row>
    <row r="16" spans="1:14" x14ac:dyDescent="0.25">
      <c r="E16" s="29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5703125" style="5" customWidth="1"/>
    <col min="2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74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4585445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11219853</v>
      </c>
      <c r="C5" s="12">
        <v>3353198</v>
      </c>
      <c r="D5" s="12">
        <v>10761075</v>
      </c>
      <c r="E5" s="12">
        <v>7312553</v>
      </c>
      <c r="F5" s="12">
        <v>10529745</v>
      </c>
      <c r="G5" s="12">
        <v>7937637</v>
      </c>
      <c r="H5" s="12">
        <v>3151899</v>
      </c>
      <c r="I5" s="12">
        <v>9914034</v>
      </c>
      <c r="J5" s="12">
        <v>11217993</v>
      </c>
      <c r="K5" s="12">
        <v>6632462</v>
      </c>
      <c r="L5" s="12">
        <v>4922800</v>
      </c>
      <c r="M5" s="12"/>
      <c r="N5" s="13">
        <f>SUM(B5:M5)</f>
        <v>86953249</v>
      </c>
    </row>
    <row r="6" spans="1:14" x14ac:dyDescent="0.25">
      <c r="A6" s="11" t="s">
        <v>92</v>
      </c>
      <c r="B6" s="12">
        <v>1105800</v>
      </c>
      <c r="C6" s="12">
        <v>234184</v>
      </c>
      <c r="D6" s="12">
        <v>2304000</v>
      </c>
      <c r="E6" s="12">
        <v>1355871</v>
      </c>
      <c r="F6" s="12">
        <v>3000183</v>
      </c>
      <c r="G6" s="12">
        <v>1805030</v>
      </c>
      <c r="H6" s="12">
        <v>294083</v>
      </c>
      <c r="I6" s="12"/>
      <c r="J6" s="12">
        <f>J5-K9</f>
        <v>112193</v>
      </c>
      <c r="K6" s="12">
        <v>139606</v>
      </c>
      <c r="L6" s="12"/>
      <c r="M6" s="14"/>
      <c r="N6" s="13">
        <f t="shared" ref="N6:N9" si="0">SUM(B6:M6)</f>
        <v>10350950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7403655</v>
      </c>
      <c r="C9" s="12">
        <v>5328000</v>
      </c>
      <c r="D9" s="12">
        <v>4856079</v>
      </c>
      <c r="E9" s="12">
        <v>9091368</v>
      </c>
      <c r="F9" s="12">
        <v>7650566</v>
      </c>
      <c r="G9" s="12">
        <v>5471000</v>
      </c>
      <c r="H9" s="12">
        <v>5953200</v>
      </c>
      <c r="I9" s="12">
        <v>6394723</v>
      </c>
      <c r="J9" s="12">
        <v>5743513</v>
      </c>
      <c r="K9" s="12">
        <v>11105800</v>
      </c>
      <c r="L9" s="12">
        <v>6492856</v>
      </c>
      <c r="M9" s="12"/>
      <c r="N9" s="13">
        <f t="shared" si="0"/>
        <v>75490760</v>
      </c>
    </row>
    <row r="10" spans="1:14" s="17" customFormat="1" ht="14.25" x14ac:dyDescent="0.2">
      <c r="A10" s="15" t="s">
        <v>96</v>
      </c>
      <c r="B10" s="16">
        <f>N3+B5-B6-B7-B8-B9</f>
        <v>7295843</v>
      </c>
      <c r="C10" s="16">
        <f t="shared" ref="C10:H10" si="1">B10+C5-C6-C7-C8-C9</f>
        <v>5086857</v>
      </c>
      <c r="D10" s="16">
        <f t="shared" si="1"/>
        <v>8687853</v>
      </c>
      <c r="E10" s="16">
        <f t="shared" si="1"/>
        <v>5553167</v>
      </c>
      <c r="F10" s="16">
        <f t="shared" si="1"/>
        <v>5432163</v>
      </c>
      <c r="G10" s="16">
        <f t="shared" si="1"/>
        <v>6093770</v>
      </c>
      <c r="H10" s="16">
        <f t="shared" si="1"/>
        <v>2998386</v>
      </c>
      <c r="I10" s="16">
        <f t="shared" ref="I10" si="2">H10+I5-I6-I7-I8-I9</f>
        <v>6517697</v>
      </c>
      <c r="J10" s="16">
        <f t="shared" ref="J10" si="3">I10+J5-J6-J7-J8-J9</f>
        <v>11879984</v>
      </c>
      <c r="K10" s="16">
        <f t="shared" ref="K10:M10" si="4">J10+K5-K6-K7-K8-K9</f>
        <v>7267040</v>
      </c>
      <c r="L10" s="16">
        <f t="shared" si="4"/>
        <v>5696984</v>
      </c>
      <c r="M10" s="16">
        <f t="shared" si="4"/>
        <v>5696984</v>
      </c>
      <c r="N10" s="13">
        <f>N3+N5-N6-N7-N8-N9</f>
        <v>5696984</v>
      </c>
    </row>
    <row r="15" spans="1:14" x14ac:dyDescent="0.25">
      <c r="E15" s="29"/>
    </row>
    <row r="18" spans="6:7" x14ac:dyDescent="0.25">
      <c r="F18" s="29"/>
    </row>
    <row r="26" spans="6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75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76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97</v>
      </c>
      <c r="N3" s="7"/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96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128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74947065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36946220</v>
      </c>
      <c r="C5" s="12">
        <v>29693361</v>
      </c>
      <c r="D5" s="12">
        <v>43463666</v>
      </c>
      <c r="E5" s="12">
        <v>37186873</v>
      </c>
      <c r="F5" s="12">
        <v>36924297</v>
      </c>
      <c r="G5" s="12">
        <v>34811766</v>
      </c>
      <c r="H5" s="12">
        <v>29695251</v>
      </c>
      <c r="I5" s="12">
        <v>38612845</v>
      </c>
      <c r="J5" s="12">
        <v>38407795</v>
      </c>
      <c r="K5" s="12">
        <v>24328583</v>
      </c>
      <c r="L5" s="12">
        <v>22330972</v>
      </c>
      <c r="M5" s="12">
        <v>27297213</v>
      </c>
      <c r="N5" s="13">
        <f>SUM(B5:M5)</f>
        <v>399698842</v>
      </c>
    </row>
    <row r="6" spans="1:14" ht="15.95" customHeight="1" x14ac:dyDescent="0.25">
      <c r="A6" s="11" t="s">
        <v>92</v>
      </c>
      <c r="B6" s="12"/>
      <c r="C6" s="12">
        <v>6177981</v>
      </c>
      <c r="D6" s="12">
        <v>3497078</v>
      </c>
      <c r="E6" s="12">
        <v>8483891</v>
      </c>
      <c r="F6" s="12">
        <v>14305857</v>
      </c>
      <c r="G6" s="12">
        <v>10896271</v>
      </c>
      <c r="H6" s="12"/>
      <c r="I6" s="12">
        <v>12387386</v>
      </c>
      <c r="J6" s="12">
        <f>8183480+6226605</f>
        <v>14410085</v>
      </c>
      <c r="K6" s="12">
        <v>3248115</v>
      </c>
      <c r="L6" s="12">
        <v>6122762</v>
      </c>
      <c r="M6" s="14"/>
      <c r="N6" s="13">
        <f>SUM(B6:M6)</f>
        <v>79529426</v>
      </c>
    </row>
    <row r="7" spans="1:14" x14ac:dyDescent="0.25">
      <c r="A7" s="11" t="s">
        <v>93</v>
      </c>
      <c r="B7" s="12"/>
      <c r="C7" s="12">
        <v>923047</v>
      </c>
      <c r="D7" s="12">
        <v>805911</v>
      </c>
      <c r="E7" s="12">
        <v>1029371</v>
      </c>
      <c r="F7" s="12">
        <v>686430.41680000001</v>
      </c>
      <c r="G7" s="12">
        <v>780841</v>
      </c>
      <c r="H7" s="12"/>
      <c r="I7" s="12">
        <f>448487-1100851</f>
        <v>-652364</v>
      </c>
      <c r="J7" s="12">
        <f>430235+971587</f>
        <v>1401822</v>
      </c>
      <c r="K7" s="12">
        <v>1054773</v>
      </c>
      <c r="L7" s="12">
        <v>546174</v>
      </c>
      <c r="M7" s="14"/>
      <c r="N7" s="13">
        <f t="shared" ref="N7:N9" si="0">SUM(B7:M7)</f>
        <v>6576005.4167999998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41231552</v>
      </c>
      <c r="C9" s="12">
        <v>33715513</v>
      </c>
      <c r="D9" s="12">
        <v>29845192</v>
      </c>
      <c r="E9" s="12">
        <v>0</v>
      </c>
      <c r="F9" s="12">
        <v>0</v>
      </c>
      <c r="G9" s="12">
        <v>0</v>
      </c>
      <c r="H9" s="12">
        <v>0</v>
      </c>
      <c r="I9" s="12">
        <v>104612106</v>
      </c>
      <c r="J9" s="12">
        <v>25247186</v>
      </c>
      <c r="K9" s="12">
        <v>52496184</v>
      </c>
      <c r="L9" s="12"/>
      <c r="M9" s="12"/>
      <c r="N9" s="13">
        <f t="shared" si="0"/>
        <v>287147733</v>
      </c>
    </row>
    <row r="10" spans="1:14" s="17" customFormat="1" ht="14.25" x14ac:dyDescent="0.2">
      <c r="A10" s="15" t="s">
        <v>96</v>
      </c>
      <c r="B10" s="16">
        <f>+N3+B5-B6-B7-B8-B9</f>
        <v>70661733</v>
      </c>
      <c r="C10" s="16">
        <f t="shared" ref="C10:M10" si="1">+B10+C5-C6-C7-C8-C9</f>
        <v>59538553</v>
      </c>
      <c r="D10" s="16">
        <f t="shared" si="1"/>
        <v>68854038</v>
      </c>
      <c r="E10" s="16">
        <f t="shared" si="1"/>
        <v>96527649</v>
      </c>
      <c r="F10" s="16">
        <f t="shared" si="1"/>
        <v>118459658.58319999</v>
      </c>
      <c r="G10" s="16">
        <f t="shared" si="1"/>
        <v>141594312.58319998</v>
      </c>
      <c r="H10" s="16">
        <f t="shared" si="1"/>
        <v>171289563.58319998</v>
      </c>
      <c r="I10" s="16">
        <f t="shared" si="1"/>
        <v>93555280.583199978</v>
      </c>
      <c r="J10" s="16">
        <f t="shared" si="1"/>
        <v>90903982.583199978</v>
      </c>
      <c r="K10" s="16">
        <f t="shared" si="1"/>
        <v>58433493.583199978</v>
      </c>
      <c r="L10" s="16">
        <f t="shared" si="1"/>
        <v>74095529.583199978</v>
      </c>
      <c r="M10" s="16">
        <f t="shared" si="1"/>
        <v>101392742.58319998</v>
      </c>
      <c r="N10" s="13">
        <f>N3+N5-N6-N7-N8-N9</f>
        <v>101392742.58319998</v>
      </c>
    </row>
    <row r="11" spans="1:14" x14ac:dyDescent="0.25">
      <c r="F11" s="29"/>
      <c r="G11" s="29"/>
      <c r="H11" s="29"/>
      <c r="I11" s="29"/>
      <c r="J11" s="29"/>
      <c r="K11" s="29"/>
      <c r="L11" s="29"/>
      <c r="M11" s="29"/>
    </row>
    <row r="12" spans="1:14" x14ac:dyDescent="0.25">
      <c r="I12" s="29"/>
    </row>
    <row r="13" spans="1:14" x14ac:dyDescent="0.25">
      <c r="H13" s="29"/>
      <c r="I13" s="29"/>
      <c r="J13" s="29"/>
    </row>
    <row r="14" spans="1:14" x14ac:dyDescent="0.25">
      <c r="I14" s="29"/>
      <c r="J14" s="29"/>
    </row>
    <row r="15" spans="1:14" x14ac:dyDescent="0.25">
      <c r="H15" s="29"/>
      <c r="I15" s="29"/>
      <c r="J15" s="29"/>
    </row>
    <row r="16" spans="1:14" x14ac:dyDescent="0.25">
      <c r="J16" s="29"/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B2" s="104" t="s">
        <v>130</v>
      </c>
      <c r="C2" s="104"/>
      <c r="D2" s="104"/>
      <c r="E2" s="104"/>
      <c r="F2" s="104"/>
    </row>
    <row r="3" spans="1:14" ht="29.25" x14ac:dyDescent="0.25">
      <c r="B3" s="5" t="s">
        <v>99</v>
      </c>
      <c r="M3" s="6" t="s">
        <v>153</v>
      </c>
      <c r="N3" s="7">
        <v>13481274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11398534</v>
      </c>
      <c r="C5" s="12">
        <v>4630176</v>
      </c>
      <c r="D5" s="12">
        <v>12771802</v>
      </c>
      <c r="E5" s="12">
        <v>7331699</v>
      </c>
      <c r="F5" s="12">
        <v>28623343</v>
      </c>
      <c r="G5" s="12">
        <v>14930008</v>
      </c>
      <c r="H5" s="12">
        <v>16301119</v>
      </c>
      <c r="I5" s="12">
        <v>13558173</v>
      </c>
      <c r="J5" s="12">
        <v>14779627</v>
      </c>
      <c r="K5" s="12">
        <v>11087503</v>
      </c>
      <c r="L5" s="12">
        <v>16438444</v>
      </c>
      <c r="M5" s="12">
        <v>11766794</v>
      </c>
      <c r="N5" s="13">
        <f>SUM(B5:M5)</f>
        <v>163617222</v>
      </c>
    </row>
    <row r="6" spans="1:14" x14ac:dyDescent="0.25">
      <c r="A6" s="11" t="s">
        <v>92</v>
      </c>
      <c r="B6" s="12"/>
      <c r="C6" s="12">
        <f>1531274+547705</f>
        <v>2078979</v>
      </c>
      <c r="D6" s="12">
        <v>2073394</v>
      </c>
      <c r="E6" s="12"/>
      <c r="F6" s="12">
        <f>847571+1055231</f>
        <v>1902802</v>
      </c>
      <c r="G6" s="12">
        <v>1350425</v>
      </c>
      <c r="H6" s="12">
        <v>343370</v>
      </c>
      <c r="I6" s="12">
        <v>650087</v>
      </c>
      <c r="J6" s="12">
        <v>55840</v>
      </c>
      <c r="K6" s="12">
        <v>335742</v>
      </c>
      <c r="L6" s="12"/>
      <c r="M6" s="14">
        <v>737969</v>
      </c>
      <c r="N6" s="13">
        <f t="shared" ref="N6:N9" si="0">SUM(B6:M6)</f>
        <v>9528608</v>
      </c>
    </row>
    <row r="7" spans="1:14" x14ac:dyDescent="0.25">
      <c r="A7" s="11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13481292</v>
      </c>
      <c r="C9" s="12">
        <v>9867263</v>
      </c>
      <c r="D9" s="12">
        <v>4082471</v>
      </c>
      <c r="E9" s="12">
        <v>10698413</v>
      </c>
      <c r="F9" s="12">
        <v>12393386</v>
      </c>
      <c r="G9" s="12">
        <v>22214768</v>
      </c>
      <c r="H9" s="12">
        <v>13023681</v>
      </c>
      <c r="I9" s="12">
        <v>15957767</v>
      </c>
      <c r="J9" s="12">
        <v>12908086</v>
      </c>
      <c r="K9" s="12">
        <v>14723787</v>
      </c>
      <c r="L9" s="12">
        <v>10751763</v>
      </c>
      <c r="M9" s="12">
        <v>16438442</v>
      </c>
      <c r="N9" s="13">
        <f t="shared" si="0"/>
        <v>156541119</v>
      </c>
    </row>
    <row r="10" spans="1:14" s="17" customFormat="1" ht="14.25" x14ac:dyDescent="0.2">
      <c r="A10" s="15" t="s">
        <v>96</v>
      </c>
      <c r="B10" s="16">
        <f>N3+B5-B6-B7-B8-B9</f>
        <v>11398516</v>
      </c>
      <c r="C10" s="16">
        <f t="shared" ref="C10:M10" si="1">+B10+C5-C6-C7-C9</f>
        <v>4082450</v>
      </c>
      <c r="D10" s="16">
        <f t="shared" si="1"/>
        <v>10698387</v>
      </c>
      <c r="E10" s="16">
        <f t="shared" si="1"/>
        <v>7331673</v>
      </c>
      <c r="F10" s="16">
        <f t="shared" si="1"/>
        <v>21658828</v>
      </c>
      <c r="G10" s="16">
        <f t="shared" si="1"/>
        <v>13023643</v>
      </c>
      <c r="H10" s="16">
        <f t="shared" si="1"/>
        <v>15957711</v>
      </c>
      <c r="I10" s="16">
        <f t="shared" si="1"/>
        <v>12908030</v>
      </c>
      <c r="J10" s="16">
        <f t="shared" si="1"/>
        <v>14723731</v>
      </c>
      <c r="K10" s="16">
        <f t="shared" si="1"/>
        <v>10751705</v>
      </c>
      <c r="L10" s="16">
        <f t="shared" si="1"/>
        <v>16438386</v>
      </c>
      <c r="M10" s="16">
        <f t="shared" si="1"/>
        <v>11028769</v>
      </c>
      <c r="N10" s="13">
        <f>N3+N5-N6-N7-N8-N9</f>
        <v>11028769</v>
      </c>
    </row>
    <row r="12" spans="1:14" x14ac:dyDescent="0.25">
      <c r="F12" s="5">
        <v>555903</v>
      </c>
    </row>
    <row r="13" spans="1:14" x14ac:dyDescent="0.25">
      <c r="F13" s="29">
        <f>+F10+F12</f>
        <v>22214731</v>
      </c>
    </row>
    <row r="14" spans="1:14" x14ac:dyDescent="0.25">
      <c r="K14" s="5">
        <v>10919094</v>
      </c>
    </row>
    <row r="15" spans="1:14" x14ac:dyDescent="0.25">
      <c r="K15" s="29">
        <f>+K14-K10</f>
        <v>167389</v>
      </c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20.5703125" customWidth="1"/>
    <col min="2" max="13" width="15.7109375" customWidth="1"/>
    <col min="14" max="14" width="13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4" ht="18.75" x14ac:dyDescent="0.25">
      <c r="A2" s="1"/>
      <c r="B2" s="104" t="s">
        <v>136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0</v>
      </c>
    </row>
    <row r="4" spans="1:14" ht="33" customHeight="1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60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60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0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0" t="s">
        <v>95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x14ac:dyDescent="0.25">
      <c r="A10" s="61" t="s">
        <v>96</v>
      </c>
      <c r="B10" s="16">
        <f>N3+B5-B6-B7-B8-B9</f>
        <v>0</v>
      </c>
      <c r="C10" s="16">
        <f t="shared" ref="C10:G10" si="1">B10+C5-C6-C7-C8-C9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/>
      <c r="I10" s="16"/>
      <c r="J10" s="16"/>
      <c r="K10" s="16"/>
      <c r="L10" s="16"/>
      <c r="M10" s="16"/>
      <c r="N10" s="13">
        <f>N3+N5-N6-N7-N8-N9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C1" workbookViewId="0">
      <selection activeCell="L1" sqref="L1:N1"/>
    </sheetView>
  </sheetViews>
  <sheetFormatPr defaultRowHeight="15" x14ac:dyDescent="0.25"/>
  <cols>
    <col min="1" max="1" width="19.140625" customWidth="1"/>
    <col min="2" max="11" width="15" customWidth="1"/>
    <col min="12" max="15" width="15.85546875" customWidth="1"/>
  </cols>
  <sheetData>
    <row r="1" spans="1:15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5" ht="18.75" x14ac:dyDescent="0.25">
      <c r="A2" s="1"/>
      <c r="B2" s="104" t="s">
        <v>138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5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23807424</v>
      </c>
      <c r="O3" s="83"/>
    </row>
    <row r="4" spans="1:15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5" x14ac:dyDescent="0.25">
      <c r="A5" s="60" t="s">
        <v>91</v>
      </c>
      <c r="B5" s="12">
        <v>12531605</v>
      </c>
      <c r="C5" s="12">
        <v>3646320</v>
      </c>
      <c r="D5" s="12">
        <v>1681538</v>
      </c>
      <c r="E5" s="12">
        <v>4938865</v>
      </c>
      <c r="F5" s="12">
        <v>6601470</v>
      </c>
      <c r="G5" s="12">
        <v>12173172</v>
      </c>
      <c r="H5" s="12">
        <v>8271383</v>
      </c>
      <c r="I5" s="12">
        <v>6962877</v>
      </c>
      <c r="J5" s="12"/>
      <c r="K5" s="12">
        <v>9887407</v>
      </c>
      <c r="L5" s="12">
        <v>5290749</v>
      </c>
      <c r="M5" s="12">
        <v>8724076</v>
      </c>
      <c r="N5" s="13">
        <f>SUM(B5:M5)</f>
        <v>80709462</v>
      </c>
    </row>
    <row r="6" spans="1:15" x14ac:dyDescent="0.25">
      <c r="A6" s="60" t="s">
        <v>92</v>
      </c>
      <c r="B6" s="12"/>
      <c r="C6" s="12">
        <v>182832</v>
      </c>
      <c r="D6" s="12">
        <v>2414755</v>
      </c>
      <c r="E6" s="12">
        <v>2338622</v>
      </c>
      <c r="F6" s="12">
        <v>2067475</v>
      </c>
      <c r="G6" s="12">
        <v>3109235</v>
      </c>
      <c r="H6" s="12">
        <v>512822</v>
      </c>
      <c r="I6" s="12">
        <v>2545364</v>
      </c>
      <c r="J6" s="12">
        <v>1666368</v>
      </c>
      <c r="K6" s="12">
        <v>1234613</v>
      </c>
      <c r="L6" s="12">
        <v>113945</v>
      </c>
      <c r="M6" s="14">
        <v>1496170</v>
      </c>
      <c r="N6" s="13">
        <f t="shared" ref="N6:N9" si="0">SUM(B6:M6)</f>
        <v>17682201</v>
      </c>
    </row>
    <row r="7" spans="1:15" x14ac:dyDescent="0.25">
      <c r="A7" s="60" t="s">
        <v>93</v>
      </c>
      <c r="B7" s="12">
        <v>308649</v>
      </c>
      <c r="C7" s="12">
        <v>85304</v>
      </c>
      <c r="D7" s="12"/>
      <c r="E7" s="12">
        <v>64043</v>
      </c>
      <c r="F7" s="12">
        <v>111671</v>
      </c>
      <c r="G7" s="12">
        <v>223241</v>
      </c>
      <c r="H7" s="12">
        <v>191090</v>
      </c>
      <c r="I7" s="12">
        <v>108801</v>
      </c>
      <c r="J7" s="12"/>
      <c r="K7" s="12">
        <v>213115</v>
      </c>
      <c r="L7" s="12">
        <v>127503</v>
      </c>
      <c r="M7" s="14">
        <v>178021</v>
      </c>
      <c r="N7" s="13">
        <f t="shared" si="0"/>
        <v>1611438</v>
      </c>
    </row>
    <row r="8" spans="1:15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60" t="s">
        <v>95</v>
      </c>
      <c r="B9" s="12">
        <v>11812456</v>
      </c>
      <c r="C9" s="12"/>
      <c r="D9" s="12">
        <v>24217921</v>
      </c>
      <c r="E9" s="12">
        <v>3378184</v>
      </c>
      <c r="F9" s="12"/>
      <c r="G9" s="12">
        <v>1802983</v>
      </c>
      <c r="H9" s="12"/>
      <c r="I9" s="12"/>
      <c r="J9" s="12"/>
      <c r="K9" s="12">
        <v>13263020</v>
      </c>
      <c r="L9" s="12"/>
      <c r="M9" s="12">
        <v>18649471</v>
      </c>
      <c r="N9" s="13">
        <f t="shared" si="0"/>
        <v>73124035</v>
      </c>
    </row>
    <row r="10" spans="1:15" x14ac:dyDescent="0.25">
      <c r="A10" s="61" t="s">
        <v>96</v>
      </c>
      <c r="B10" s="16">
        <f>+N3+B5-B6-B7-B8-B9</f>
        <v>24217924</v>
      </c>
      <c r="C10" s="16">
        <f t="shared" ref="C10:M10" si="1">+B10+C5-C6-C7-C8-C9</f>
        <v>27596108</v>
      </c>
      <c r="D10" s="16">
        <f t="shared" si="1"/>
        <v>2644970</v>
      </c>
      <c r="E10" s="16">
        <f t="shared" si="1"/>
        <v>1802986</v>
      </c>
      <c r="F10" s="16">
        <f t="shared" si="1"/>
        <v>6225310</v>
      </c>
      <c r="G10" s="16">
        <f t="shared" si="1"/>
        <v>13263023</v>
      </c>
      <c r="H10" s="16">
        <f t="shared" si="1"/>
        <v>20830494</v>
      </c>
      <c r="I10" s="16">
        <f t="shared" si="1"/>
        <v>25139206</v>
      </c>
      <c r="J10" s="16">
        <f t="shared" si="1"/>
        <v>23472838</v>
      </c>
      <c r="K10" s="16">
        <f t="shared" si="1"/>
        <v>18649497</v>
      </c>
      <c r="L10" s="16">
        <f t="shared" si="1"/>
        <v>23698798</v>
      </c>
      <c r="M10" s="16">
        <f t="shared" si="1"/>
        <v>12099212</v>
      </c>
      <c r="N10" s="13">
        <f>N3+N5-N6-N7-N8-N9</f>
        <v>12099212</v>
      </c>
    </row>
    <row r="12" spans="1:15" x14ac:dyDescent="0.25">
      <c r="M12" s="96"/>
    </row>
    <row r="14" spans="1:15" x14ac:dyDescent="0.25">
      <c r="B14" s="83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B1" zoomScaleNormal="10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A2" s="5" t="s">
        <v>108</v>
      </c>
      <c r="B2" s="104" t="s">
        <v>159</v>
      </c>
      <c r="C2" s="104"/>
      <c r="D2" s="104"/>
      <c r="E2" s="104"/>
      <c r="F2" s="104"/>
      <c r="G2" s="84" t="s">
        <v>160</v>
      </c>
    </row>
    <row r="3" spans="1:14" ht="29.25" x14ac:dyDescent="0.25">
      <c r="B3" s="5" t="s">
        <v>99</v>
      </c>
      <c r="M3" s="6" t="s">
        <v>153</v>
      </c>
      <c r="N3" s="7">
        <v>140993533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46000631</v>
      </c>
      <c r="C5" s="12">
        <v>85642350</v>
      </c>
      <c r="D5" s="12">
        <v>55606651</v>
      </c>
      <c r="E5" s="12">
        <v>63589114</v>
      </c>
      <c r="F5" s="12">
        <v>78201082</v>
      </c>
      <c r="G5" s="12">
        <v>81786423</v>
      </c>
      <c r="H5" s="12">
        <v>131968614</v>
      </c>
      <c r="I5" s="12">
        <v>93408377</v>
      </c>
      <c r="J5" s="12">
        <v>86927668</v>
      </c>
      <c r="K5" s="12">
        <v>135866139</v>
      </c>
      <c r="L5" s="12">
        <v>178901362</v>
      </c>
      <c r="M5" s="12">
        <v>144291824</v>
      </c>
      <c r="N5" s="13">
        <f>SUM(B5:M5)</f>
        <v>1182190235</v>
      </c>
    </row>
    <row r="6" spans="1:14" x14ac:dyDescent="0.25">
      <c r="A6" s="11" t="s">
        <v>92</v>
      </c>
      <c r="B6" s="12">
        <v>12547960</v>
      </c>
      <c r="C6" s="12">
        <v>4735360</v>
      </c>
      <c r="D6" s="12">
        <v>14341374</v>
      </c>
      <c r="E6" s="12">
        <v>12514880</v>
      </c>
      <c r="F6" s="12">
        <v>12785472</v>
      </c>
      <c r="G6" s="12">
        <v>12920768</v>
      </c>
      <c r="H6" s="12">
        <v>11838400</v>
      </c>
      <c r="I6" s="12">
        <v>7508928</v>
      </c>
      <c r="J6" s="12">
        <v>10485440</v>
      </c>
      <c r="K6" s="12">
        <v>16438464</v>
      </c>
      <c r="L6" s="12">
        <v>12497076</v>
      </c>
      <c r="M6" s="14">
        <v>5689550</v>
      </c>
      <c r="N6" s="13">
        <f t="shared" ref="N6:N9" si="0">SUM(B6:M6)</f>
        <v>134303672</v>
      </c>
    </row>
    <row r="7" spans="1:14" x14ac:dyDescent="0.25">
      <c r="A7" s="11" t="s">
        <v>93</v>
      </c>
      <c r="B7" s="12">
        <v>4023661</v>
      </c>
      <c r="C7" s="12"/>
      <c r="D7" s="12">
        <v>7866585</v>
      </c>
      <c r="E7" s="12"/>
      <c r="F7" s="12">
        <v>11028748</v>
      </c>
      <c r="G7" s="12">
        <v>2943702</v>
      </c>
      <c r="H7" s="47">
        <v>3813922</v>
      </c>
      <c r="I7" s="12">
        <v>6202903</v>
      </c>
      <c r="J7" s="12">
        <v>4297468</v>
      </c>
      <c r="K7" s="12">
        <v>6557160</v>
      </c>
      <c r="L7" s="12">
        <v>5971380</v>
      </c>
      <c r="M7" s="14">
        <v>8266540</v>
      </c>
      <c r="N7" s="13">
        <f t="shared" si="0"/>
        <v>60972069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70422626</v>
      </c>
      <c r="C9" s="12">
        <v>57423642</v>
      </c>
      <c r="D9" s="12">
        <v>40343892</v>
      </c>
      <c r="E9" s="12">
        <v>62757910</v>
      </c>
      <c r="F9" s="12">
        <v>45459452</v>
      </c>
      <c r="G9" s="12">
        <v>39717890</v>
      </c>
      <c r="H9" s="12">
        <v>53395713</v>
      </c>
      <c r="I9" s="12">
        <v>72154772</v>
      </c>
      <c r="J9" s="12">
        <v>116782047</v>
      </c>
      <c r="K9" s="12">
        <v>82670829</v>
      </c>
      <c r="L9" s="12">
        <v>71711570</v>
      </c>
      <c r="M9" s="12">
        <v>111672525</v>
      </c>
      <c r="N9" s="13">
        <f t="shared" si="0"/>
        <v>824512868</v>
      </c>
    </row>
    <row r="10" spans="1:14" s="17" customFormat="1" ht="14.25" x14ac:dyDescent="0.2">
      <c r="A10" s="15" t="s">
        <v>96</v>
      </c>
      <c r="B10" s="16">
        <f>+N3+B5-B6-B7-B8-B9</f>
        <v>99999917</v>
      </c>
      <c r="C10" s="16">
        <f t="shared" ref="C10:M10" si="1">+B10+C5-C6-C7-C8-C9</f>
        <v>123483265</v>
      </c>
      <c r="D10" s="16">
        <f t="shared" si="1"/>
        <v>116538065</v>
      </c>
      <c r="E10" s="16">
        <f t="shared" si="1"/>
        <v>104854389</v>
      </c>
      <c r="F10" s="16">
        <f t="shared" si="1"/>
        <v>113781799</v>
      </c>
      <c r="G10" s="16">
        <f t="shared" si="1"/>
        <v>139985862</v>
      </c>
      <c r="H10" s="16">
        <f t="shared" si="1"/>
        <v>202906441</v>
      </c>
      <c r="I10" s="16">
        <f t="shared" si="1"/>
        <v>210448215</v>
      </c>
      <c r="J10" s="16">
        <f t="shared" si="1"/>
        <v>165810928</v>
      </c>
      <c r="K10" s="16">
        <f t="shared" si="1"/>
        <v>196010614</v>
      </c>
      <c r="L10" s="16">
        <f t="shared" si="1"/>
        <v>284731950</v>
      </c>
      <c r="M10" s="16">
        <f t="shared" si="1"/>
        <v>303395159</v>
      </c>
      <c r="N10" s="13">
        <f>N3+N5-N6-N7-N8-N9</f>
        <v>303395159</v>
      </c>
    </row>
    <row r="13" spans="1:14" x14ac:dyDescent="0.25">
      <c r="C13" s="29"/>
      <c r="D13" s="29"/>
      <c r="E13" s="29"/>
    </row>
    <row r="14" spans="1:14" x14ac:dyDescent="0.25">
      <c r="D14" s="29"/>
      <c r="E14" s="29"/>
      <c r="G14" s="29"/>
    </row>
    <row r="15" spans="1:14" x14ac:dyDescent="0.25">
      <c r="G15" s="29"/>
    </row>
    <row r="19" spans="7:12" x14ac:dyDescent="0.25">
      <c r="L19" s="29"/>
    </row>
    <row r="20" spans="7:12" x14ac:dyDescent="0.25">
      <c r="G20" s="18"/>
    </row>
    <row r="21" spans="7:12" x14ac:dyDescent="0.25">
      <c r="L21" s="29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" customWidth="1"/>
    <col min="2" max="13" width="15.42578125" customWidth="1"/>
    <col min="14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3" t="s">
        <v>106</v>
      </c>
      <c r="M1" s="103"/>
      <c r="N1" s="103"/>
    </row>
    <row r="2" spans="1:14" ht="18.75" x14ac:dyDescent="0.25">
      <c r="A2" s="1"/>
      <c r="B2" s="104" t="s">
        <v>140</v>
      </c>
      <c r="C2" s="104"/>
      <c r="D2" s="104"/>
      <c r="E2" s="104"/>
      <c r="F2" s="104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153</v>
      </c>
      <c r="N3" s="7">
        <v>12370700</v>
      </c>
    </row>
    <row r="4" spans="1:14" x14ac:dyDescent="0.25">
      <c r="A4" s="59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ht="15.75" x14ac:dyDescent="0.25">
      <c r="A5" s="60" t="s">
        <v>91</v>
      </c>
      <c r="B5" s="12">
        <v>7307999</v>
      </c>
      <c r="C5" s="12">
        <v>1883505</v>
      </c>
      <c r="D5" s="12">
        <v>5612840</v>
      </c>
      <c r="E5" s="73">
        <v>9417525</v>
      </c>
      <c r="F5" s="73">
        <v>7910721</v>
      </c>
      <c r="G5" s="73">
        <v>9794226</v>
      </c>
      <c r="H5" s="73">
        <v>12016757</v>
      </c>
      <c r="I5" s="73">
        <v>6403917</v>
      </c>
      <c r="J5" s="73">
        <v>12431133</v>
      </c>
      <c r="K5" s="63">
        <v>4897113</v>
      </c>
      <c r="L5" s="12">
        <v>11811424</v>
      </c>
      <c r="M5" s="12">
        <v>9297128</v>
      </c>
      <c r="N5" s="13">
        <f>SUM(B5:M5)</f>
        <v>98784288</v>
      </c>
    </row>
    <row r="6" spans="1:14" x14ac:dyDescent="0.25">
      <c r="A6" s="60" t="s">
        <v>92</v>
      </c>
      <c r="B6" s="12"/>
      <c r="C6" s="12"/>
      <c r="D6" s="12"/>
      <c r="E6" s="12"/>
      <c r="F6" s="12"/>
      <c r="G6" s="12"/>
      <c r="H6" s="12"/>
      <c r="I6" s="12"/>
      <c r="J6" s="12">
        <v>301360</v>
      </c>
      <c r="K6" s="12"/>
      <c r="L6" s="12"/>
      <c r="M6" s="14"/>
      <c r="N6" s="13">
        <f t="shared" ref="N6:N9" si="0">SUM(B6:M6)</f>
        <v>301360</v>
      </c>
    </row>
    <row r="7" spans="1:14" x14ac:dyDescent="0.25">
      <c r="A7" s="60" t="s">
        <v>93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0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0" t="s">
        <v>95</v>
      </c>
      <c r="B9" s="12"/>
      <c r="C9" s="12"/>
      <c r="D9" s="12"/>
      <c r="E9" s="12"/>
      <c r="F9" s="12"/>
      <c r="G9" s="12"/>
      <c r="H9" s="12"/>
      <c r="I9" s="12">
        <v>28629797</v>
      </c>
      <c r="J9" s="12"/>
      <c r="K9" s="12">
        <v>48180054</v>
      </c>
      <c r="L9" s="12">
        <v>7962771</v>
      </c>
      <c r="M9" s="12"/>
      <c r="N9" s="13">
        <f t="shared" si="0"/>
        <v>84772622</v>
      </c>
    </row>
    <row r="10" spans="1:14" x14ac:dyDescent="0.25">
      <c r="A10" s="61" t="s">
        <v>96</v>
      </c>
      <c r="B10" s="16">
        <f>N3+B5-B6-B7-B8-B9</f>
        <v>19678699</v>
      </c>
      <c r="C10" s="16">
        <f>B10+C5-C6-C7-C8-C9</f>
        <v>21562204</v>
      </c>
      <c r="D10" s="16">
        <f t="shared" ref="D10" si="1">C10+D5-D6-D7-D8-D9</f>
        <v>27175044</v>
      </c>
      <c r="E10" s="16">
        <f t="shared" ref="E10" si="2">D10+E5-E6-E7-E8-E9</f>
        <v>36592569</v>
      </c>
      <c r="F10" s="16">
        <f t="shared" ref="F10" si="3">E10+F5-F6-F7-F8-F9</f>
        <v>44503290</v>
      </c>
      <c r="G10" s="16">
        <f t="shared" ref="G10:H10" si="4">F10+G5-G6-G7-G8-G9</f>
        <v>54297516</v>
      </c>
      <c r="H10" s="16">
        <f t="shared" si="4"/>
        <v>66314273</v>
      </c>
      <c r="I10" s="16">
        <f t="shared" ref="I10" si="5">H10+I5-I6-I7-I8-I9</f>
        <v>44088393</v>
      </c>
      <c r="J10" s="16">
        <f t="shared" ref="J10" si="6">I10+J5-J6-J7-J8-J9</f>
        <v>56218166</v>
      </c>
      <c r="K10" s="16">
        <f t="shared" ref="K10" si="7">J10+K5-K6-K7-K8-K9</f>
        <v>12935225</v>
      </c>
      <c r="L10" s="16">
        <f t="shared" ref="L10" si="8">K10+L5-L6-L7-L8-L9</f>
        <v>16783878</v>
      </c>
      <c r="M10" s="16">
        <f t="shared" ref="M10" si="9">L10+M5-M6-M7-M8-M9</f>
        <v>26081006</v>
      </c>
      <c r="N10" s="13">
        <f>N3+N5-N6-N7-N8-N9</f>
        <v>26081006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B1" zoomScaleNormal="100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3" t="s">
        <v>106</v>
      </c>
      <c r="M1" s="103"/>
      <c r="N1" s="103"/>
    </row>
    <row r="2" spans="1:14" ht="18.75" x14ac:dyDescent="0.25">
      <c r="A2" s="5" t="s">
        <v>108</v>
      </c>
      <c r="B2" s="104" t="s">
        <v>158</v>
      </c>
      <c r="C2" s="104"/>
      <c r="D2" s="104"/>
      <c r="E2" s="104"/>
      <c r="F2" s="104"/>
      <c r="G2" s="84" t="s">
        <v>161</v>
      </c>
    </row>
    <row r="3" spans="1:14" ht="29.25" x14ac:dyDescent="0.25">
      <c r="B3" s="5" t="s">
        <v>99</v>
      </c>
      <c r="M3" s="6" t="s">
        <v>153</v>
      </c>
      <c r="N3" s="7">
        <f>68257855-2858352</f>
        <v>65399503</v>
      </c>
    </row>
    <row r="4" spans="1:14" s="3" customFormat="1" x14ac:dyDescent="0.25">
      <c r="A4" s="8"/>
      <c r="B4" s="9" t="s">
        <v>78</v>
      </c>
      <c r="C4" s="9" t="s">
        <v>79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10" t="s">
        <v>90</v>
      </c>
    </row>
    <row r="5" spans="1:14" x14ac:dyDescent="0.25">
      <c r="A5" s="11" t="s">
        <v>91</v>
      </c>
      <c r="B5" s="12">
        <v>18670840</v>
      </c>
      <c r="C5" s="12">
        <v>21173818</v>
      </c>
      <c r="D5" s="12">
        <v>12988412</v>
      </c>
      <c r="E5" s="12">
        <v>14611963</v>
      </c>
      <c r="F5" s="12">
        <v>13461948</v>
      </c>
      <c r="G5" s="12">
        <v>24583276</v>
      </c>
      <c r="H5" s="12">
        <v>35772249</v>
      </c>
      <c r="I5" s="12">
        <v>18684372</v>
      </c>
      <c r="J5" s="12">
        <v>15964927</v>
      </c>
      <c r="K5" s="12">
        <v>78793594</v>
      </c>
      <c r="L5" s="12">
        <v>97164898</v>
      </c>
      <c r="M5" s="12">
        <v>74575369</v>
      </c>
      <c r="N5" s="13">
        <f>SUM(B5:M5)</f>
        <v>426445666</v>
      </c>
    </row>
    <row r="6" spans="1:14" x14ac:dyDescent="0.25">
      <c r="A6" s="11" t="s">
        <v>92</v>
      </c>
      <c r="B6" s="12">
        <v>3855936</v>
      </c>
      <c r="C6" s="12">
        <v>1285312</v>
      </c>
      <c r="D6" s="12">
        <v>2705920</v>
      </c>
      <c r="E6" s="12">
        <v>1826496</v>
      </c>
      <c r="F6" s="12">
        <v>1285312</v>
      </c>
      <c r="G6" s="12">
        <v>1285312</v>
      </c>
      <c r="H6" s="12">
        <v>1082368</v>
      </c>
      <c r="I6" s="12">
        <v>4126528</v>
      </c>
      <c r="J6" s="12">
        <v>4058880</v>
      </c>
      <c r="K6" s="12">
        <v>1310234</v>
      </c>
      <c r="L6" s="12">
        <v>1285312</v>
      </c>
      <c r="M6" s="14">
        <v>2962258</v>
      </c>
      <c r="N6" s="13">
        <f t="shared" ref="N6:N9" si="0">SUM(B6:M6)</f>
        <v>27069868</v>
      </c>
    </row>
    <row r="7" spans="1:14" x14ac:dyDescent="0.25">
      <c r="A7" s="11" t="s">
        <v>93</v>
      </c>
      <c r="B7" s="12">
        <v>1973439</v>
      </c>
      <c r="C7" s="12"/>
      <c r="D7" s="12">
        <v>3986940</v>
      </c>
      <c r="E7" s="12"/>
      <c r="F7" s="12">
        <v>3247712</v>
      </c>
      <c r="G7" s="12">
        <v>1411951</v>
      </c>
      <c r="H7" s="47">
        <v>2128410</v>
      </c>
      <c r="I7" s="12">
        <v>2400692</v>
      </c>
      <c r="J7" s="12">
        <v>1759455</v>
      </c>
      <c r="K7" s="12">
        <v>4547768</v>
      </c>
      <c r="L7" s="12">
        <v>3874165</v>
      </c>
      <c r="M7" s="14">
        <v>4793980</v>
      </c>
      <c r="N7" s="13">
        <f t="shared" si="0"/>
        <v>30124512</v>
      </c>
    </row>
    <row r="8" spans="1:14" x14ac:dyDescent="0.25">
      <c r="A8" s="11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95</v>
      </c>
      <c r="B9" s="12">
        <v>40191958</v>
      </c>
      <c r="C9" s="12">
        <v>22439466</v>
      </c>
      <c r="D9" s="12">
        <v>18062008</v>
      </c>
      <c r="E9" s="12">
        <v>14683902</v>
      </c>
      <c r="F9" s="12">
        <v>11161916</v>
      </c>
      <c r="G9" s="12">
        <v>9334811</v>
      </c>
      <c r="H9" s="12">
        <v>7838685</v>
      </c>
      <c r="I9" s="12">
        <v>21778386</v>
      </c>
      <c r="J9" s="12">
        <v>32254553</v>
      </c>
      <c r="K9" s="12">
        <v>10262401</v>
      </c>
      <c r="L9" s="12">
        <v>12357127</v>
      </c>
      <c r="M9" s="12">
        <v>70661960</v>
      </c>
      <c r="N9" s="13">
        <f t="shared" si="0"/>
        <v>271027173</v>
      </c>
    </row>
    <row r="10" spans="1:14" s="17" customFormat="1" ht="14.25" x14ac:dyDescent="0.2">
      <c r="A10" s="15" t="s">
        <v>96</v>
      </c>
      <c r="B10" s="16">
        <f>+N3+B5-B6-B7-B8-B9</f>
        <v>38049010</v>
      </c>
      <c r="C10" s="16">
        <f t="shared" ref="C10:M10" si="1">+B10+C5-C6-C7-C8-C9</f>
        <v>35498050</v>
      </c>
      <c r="D10" s="16">
        <f t="shared" si="1"/>
        <v>23731594</v>
      </c>
      <c r="E10" s="16">
        <f t="shared" si="1"/>
        <v>21833159</v>
      </c>
      <c r="F10" s="16">
        <f t="shared" si="1"/>
        <v>19600167</v>
      </c>
      <c r="G10" s="16">
        <f t="shared" si="1"/>
        <v>32151369</v>
      </c>
      <c r="H10" s="16">
        <f t="shared" si="1"/>
        <v>56874155</v>
      </c>
      <c r="I10" s="16">
        <f t="shared" si="1"/>
        <v>47252921</v>
      </c>
      <c r="J10" s="16">
        <f t="shared" si="1"/>
        <v>25144960</v>
      </c>
      <c r="K10" s="16">
        <f t="shared" si="1"/>
        <v>87818151</v>
      </c>
      <c r="L10" s="16">
        <f t="shared" si="1"/>
        <v>167466445</v>
      </c>
      <c r="M10" s="16">
        <f t="shared" si="1"/>
        <v>163623616</v>
      </c>
      <c r="N10" s="13">
        <f>N3+N5-N6-N7-N8-N9</f>
        <v>163623616</v>
      </c>
    </row>
    <row r="13" spans="1:14" x14ac:dyDescent="0.25">
      <c r="C13" s="29"/>
      <c r="D13" s="29"/>
      <c r="E13" s="29"/>
    </row>
    <row r="14" spans="1:14" x14ac:dyDescent="0.25">
      <c r="D14" s="29"/>
      <c r="E14" s="29"/>
      <c r="G14" s="29"/>
    </row>
    <row r="15" spans="1:14" x14ac:dyDescent="0.25">
      <c r="G15" s="29"/>
    </row>
    <row r="19" spans="7:12" x14ac:dyDescent="0.25">
      <c r="L19" s="29"/>
    </row>
    <row r="20" spans="7:12" x14ac:dyDescent="0.25">
      <c r="G20" s="18"/>
    </row>
    <row r="21" spans="7:12" x14ac:dyDescent="0.25">
      <c r="L21" s="29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TỔNG HỢP</vt:lpstr>
      <vt:lpstr>WIN</vt:lpstr>
      <vt:lpstr>STTHANHCONG</vt:lpstr>
      <vt:lpstr>DALATFARM</vt:lpstr>
      <vt:lpstr>TERRA</vt:lpstr>
      <vt:lpstr>AEON</vt:lpstr>
      <vt:lpstr>BRG</vt:lpstr>
      <vt:lpstr>CIRCLEK MB</vt:lpstr>
      <vt:lpstr>CIRCLEK MN</vt:lpstr>
      <vt:lpstr>COOP</vt:lpstr>
      <vt:lpstr>BIGC</vt:lpstr>
      <vt:lpstr>GS25</vt:lpstr>
      <vt:lpstr>LOTTE</vt:lpstr>
      <vt:lpstr>MEGA</vt:lpstr>
      <vt:lpstr>SATRA-004</vt:lpstr>
      <vt:lpstr>SATRA-025</vt:lpstr>
      <vt:lpstr>SATRA-020</vt:lpstr>
      <vt:lpstr>SATRA-027</vt:lpstr>
      <vt:lpstr>DTH</vt:lpstr>
      <vt:lpstr>TMART</vt:lpstr>
      <vt:lpstr>SIBA</vt:lpstr>
      <vt:lpstr>NHATMINH</vt:lpstr>
      <vt:lpstr>VIỆT Ý</vt:lpstr>
      <vt:lpstr>NOVA</vt:lpstr>
      <vt:lpstr>VIỆT Ý NT</vt:lpstr>
      <vt:lpstr>LARIA</vt:lpstr>
      <vt:lpstr>SEVEN</vt:lpstr>
      <vt:lpstr>SAIGONHD</vt:lpstr>
      <vt:lpstr>SÀNH ĐIỆU</vt:lpstr>
      <vt:lpstr>CLEVERFOOD</vt:lpstr>
      <vt:lpstr>UNO</vt:lpstr>
      <vt:lpstr>UNIT</vt:lpstr>
      <vt:lpstr>RETAIL</vt:lpstr>
      <vt:lpstr>SGMART</vt:lpstr>
      <vt:lpstr>SHINSHEN</vt:lpstr>
      <vt:lpstr>SUNSHINE</vt:lpstr>
      <vt:lpstr>V+ HÒA BÌNH</vt:lpstr>
      <vt:lpstr>NHẬT THƯƠNG</vt:lpstr>
      <vt:lpstr>CGP</vt:lpstr>
      <vt:lpstr>EASYMART</vt:lpstr>
      <vt:lpstr>BÍCH CẦU</vt:lpstr>
      <vt:lpstr>BONBON</vt:lpstr>
      <vt:lpstr>EPCOSTORE</vt:lpstr>
      <vt:lpstr>FANSIPAN</vt:lpstr>
      <vt:lpstr>FINEMART</vt:lpstr>
      <vt:lpstr>FOODMART</vt:lpstr>
      <vt:lpstr>GDVN</vt:lpstr>
      <vt:lpstr>GRELI</vt:lpstr>
      <vt:lpstr>GTGL</vt:lpstr>
      <vt:lpstr>HÀ ĐĂNG</vt:lpstr>
      <vt:lpstr>HAPPYMART</vt:lpstr>
      <vt:lpstr>HIỀN LƯƠNG</vt:lpstr>
      <vt:lpstr>TOMO</vt:lpstr>
      <vt:lpstr>HƯNG THỊNH</vt:lpstr>
      <vt:lpstr>INTIMEX ĐN</vt:lpstr>
      <vt:lpstr>JMART QT</vt:lpstr>
      <vt:lpstr>KA</vt:lpstr>
      <vt:lpstr>KINGFOOD</vt:lpstr>
      <vt:lpstr>K&amp;K</vt:lpstr>
      <vt:lpstr>EAST</vt:lpstr>
      <vt:lpstr>HNT</vt:lpstr>
      <vt:lpstr>LOCAL</vt:lpstr>
      <vt:lpstr>MDBD</vt:lpstr>
      <vt:lpstr>MEKONG</vt:lpstr>
      <vt:lpstr>MINH CẦU</vt:lpstr>
      <vt:lpstr>NGUYỄN CỬU</vt:lpstr>
      <vt:lpstr>OCOPFOOD</vt:lpstr>
      <vt:lpstr>PTMART</vt:lpstr>
      <vt:lpstr>SMARTGAP</vt:lpstr>
      <vt:lpstr>SONG NGỌC</vt:lpstr>
      <vt:lpstr>SONG NGUYỄN</vt:lpstr>
      <vt:lpstr>ANH ĐĂNG TMART</vt:lpstr>
      <vt:lpstr>TTMFARM</vt:lpstr>
      <vt:lpstr>THFOOD</vt:lpstr>
      <vt:lpstr>XDSG</vt:lpstr>
      <vt:lpstr>OKONO</vt:lpstr>
      <vt:lpstr>VITALGO</vt:lpstr>
      <vt:lpstr>TELIO</vt:lpstr>
      <vt:lpstr>KMARKET</vt:lpstr>
      <vt:lpstr>TOMITA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2025-10-27T03:05:48Z</dcterms:modified>
</cp:coreProperties>
</file>