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4270" windowHeight="13020" tabRatio="639" firstSheet="24" activeTab="35"/>
  </bookViews>
  <sheets>
    <sheet name="TỔNG HỢP" sheetId="1" r:id="rId1"/>
    <sheet name="STTHANHCONG" sheetId="135" r:id="rId2"/>
    <sheet name="DALATFARM" sheetId="134" r:id="rId3"/>
    <sheet name="TERRA" sheetId="133" r:id="rId4"/>
    <sheet name="AEON" sheetId="2" r:id="rId5"/>
    <sheet name="WIN" sheetId="43" r:id="rId6"/>
    <sheet name="BRG" sheetId="44" r:id="rId7"/>
    <sheet name="CIRCLEK" sheetId="45" r:id="rId8"/>
    <sheet name="COOP" sheetId="46" r:id="rId9"/>
    <sheet name="BIGC" sheetId="47" r:id="rId10"/>
    <sheet name="GS25" sheetId="48" r:id="rId11"/>
    <sheet name="LOTTE" sheetId="49" r:id="rId12"/>
    <sheet name="MEGA" sheetId="50" r:id="rId13"/>
    <sheet name="SATRA-004" sheetId="51" r:id="rId14"/>
    <sheet name="SATRA-025" sheetId="53" r:id="rId15"/>
    <sheet name="SATRA-020" sheetId="52" r:id="rId16"/>
    <sheet name="SATRA-027" sheetId="54" r:id="rId17"/>
    <sheet name="DTH" sheetId="56" r:id="rId18"/>
    <sheet name="TMART" sheetId="57" r:id="rId19"/>
    <sheet name="SIBA" sheetId="58" r:id="rId20"/>
    <sheet name="NHATMINH" sheetId="59" r:id="rId21"/>
    <sheet name="VIỆT Ý" sheetId="60" r:id="rId22"/>
    <sheet name="NOVA" sheetId="63" r:id="rId23"/>
    <sheet name="VIỆT Ý NT" sheetId="61" r:id="rId24"/>
    <sheet name="LARIA" sheetId="62" r:id="rId25"/>
    <sheet name="SEVEN" sheetId="64" r:id="rId26"/>
    <sheet name="USMART" sheetId="69" r:id="rId27"/>
    <sheet name="SAIGONHD" sheetId="65" r:id="rId28"/>
    <sheet name="SÀNH ĐIỆU" sheetId="66" r:id="rId29"/>
    <sheet name="CLEVERFOOD" sheetId="67" r:id="rId30"/>
    <sheet name="UNO" sheetId="68" r:id="rId31"/>
    <sheet name="UBO" sheetId="70" r:id="rId32"/>
    <sheet name="UNIT" sheetId="71" r:id="rId33"/>
    <sheet name="RETAIL" sheetId="72" r:id="rId34"/>
    <sheet name="SGMART" sheetId="73" state="hidden" r:id="rId35"/>
    <sheet name="SHINSHEN" sheetId="74" r:id="rId36"/>
    <sheet name="SUNSHINE" sheetId="75" r:id="rId37"/>
    <sheet name="V+ HÒA BÌNH" sheetId="76" r:id="rId38"/>
    <sheet name="NHẬT THƯƠNG" sheetId="77" state="hidden" r:id="rId39"/>
    <sheet name="CGP" sheetId="78" state="hidden" r:id="rId40"/>
    <sheet name="EASYMART" sheetId="80" r:id="rId41"/>
    <sheet name="BÍCH CẦU" sheetId="81" state="hidden" r:id="rId42"/>
    <sheet name="BONBON" sheetId="82" state="hidden" r:id="rId43"/>
    <sheet name="ECO" sheetId="83" r:id="rId44"/>
    <sheet name="EPCOSTORE" sheetId="84" state="hidden" r:id="rId45"/>
    <sheet name="EVERYDAY" sheetId="85" r:id="rId46"/>
    <sheet name="FANSIPAN" sheetId="86" state="hidden" r:id="rId47"/>
    <sheet name="FINEMART" sheetId="87" r:id="rId48"/>
    <sheet name="FOODMART" sheetId="88" state="hidden" r:id="rId49"/>
    <sheet name="GDVN" sheetId="89" r:id="rId50"/>
    <sheet name="GRELI" sheetId="90" state="hidden" r:id="rId51"/>
    <sheet name="GTGL" sheetId="91" r:id="rId52"/>
    <sheet name="HÀ ĐĂNG" sheetId="92" state="hidden" r:id="rId53"/>
    <sheet name="HAPPYMART" sheetId="93" r:id="rId54"/>
    <sheet name="HIỀN LƯƠNG" sheetId="94" state="hidden" r:id="rId55"/>
    <sheet name="TOMO" sheetId="96" r:id="rId56"/>
    <sheet name="HƯNG THỊNH" sheetId="98" state="hidden" r:id="rId57"/>
    <sheet name="INTIMEX ĐN" sheetId="99" r:id="rId58"/>
    <sheet name="JMART QT" sheetId="100" r:id="rId59"/>
    <sheet name="KA" sheetId="101" r:id="rId60"/>
    <sheet name="KINGFOOD" sheetId="102" r:id="rId61"/>
    <sheet name="K&amp;K" sheetId="103" r:id="rId62"/>
    <sheet name="EAST" sheetId="123" state="hidden" r:id="rId63"/>
    <sheet name="HNT" sheetId="104" r:id="rId64"/>
    <sheet name="LOCAL" sheetId="105" r:id="rId65"/>
    <sheet name="MDBD" sheetId="106" state="hidden" r:id="rId66"/>
    <sheet name="MEKONG" sheetId="107" r:id="rId67"/>
    <sheet name="MINH CẦU" sheetId="108" r:id="rId68"/>
    <sheet name="NGUYỄN CỬU" sheetId="109" state="hidden" r:id="rId69"/>
    <sheet name="OCOPFOOD" sheetId="110" state="hidden" r:id="rId70"/>
    <sheet name="PTMART" sheetId="111" r:id="rId71"/>
    <sheet name="SMARTGAP" sheetId="112" state="hidden" r:id="rId72"/>
    <sheet name="SONG NGỌC" sheetId="113" state="hidden" r:id="rId73"/>
    <sheet name="SONG NGUYỄN" sheetId="114" state="hidden" r:id="rId74"/>
    <sheet name="ANH ĐĂNG TMART" sheetId="116" r:id="rId75"/>
    <sheet name="TTMFARM" sheetId="117" r:id="rId76"/>
    <sheet name="THFOOD" sheetId="118" state="hidden" r:id="rId77"/>
    <sheet name="XDSG" sheetId="120" state="hidden" r:id="rId78"/>
    <sheet name="OKONO" sheetId="124" r:id="rId79"/>
    <sheet name="VITALGO" sheetId="125" r:id="rId80"/>
    <sheet name="TELIO" sheetId="126" r:id="rId81"/>
    <sheet name="GOOGOO" sheetId="127" r:id="rId82"/>
    <sheet name="KMARKET" sheetId="129" r:id="rId83"/>
    <sheet name="TOMITA" sheetId="130" r:id="rId84"/>
    <sheet name="HOMEMART" sheetId="131" r:id="rId85"/>
  </sheets>
  <definedNames>
    <definedName name="_xlnm._FilterDatabase" localSheetId="0" hidden="1">'TỔNG HỢP'!$A$2:$S$2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59" l="1"/>
  <c r="J13" i="59"/>
  <c r="M15" i="44"/>
  <c r="L15" i="44" l="1"/>
  <c r="N6" i="133" l="1"/>
  <c r="N7" i="133"/>
  <c r="N8" i="133"/>
  <c r="N9" i="133"/>
  <c r="N5" i="133"/>
  <c r="N10" i="133" s="1"/>
  <c r="N5" i="2"/>
  <c r="M16" i="43" l="1"/>
  <c r="M11" i="124" l="1"/>
  <c r="M9" i="57"/>
  <c r="M8" i="57" l="1"/>
  <c r="N3" i="57"/>
  <c r="G7" i="108" l="1"/>
  <c r="L9" i="57" l="1"/>
  <c r="F11" i="124" l="1"/>
  <c r="G11" i="124"/>
  <c r="H11" i="124"/>
  <c r="K7" i="75"/>
  <c r="N7" i="75" s="1"/>
  <c r="L11" i="124" l="1"/>
  <c r="K11" i="124"/>
  <c r="J11" i="124" l="1"/>
  <c r="L6" i="57" l="1"/>
  <c r="N9" i="135" l="1"/>
  <c r="N6" i="135"/>
  <c r="N7" i="135"/>
  <c r="N8" i="135"/>
  <c r="N5" i="135"/>
  <c r="J7" i="59"/>
  <c r="N10" i="135" l="1"/>
  <c r="P59" i="1" s="1"/>
  <c r="I11" i="124"/>
  <c r="C59" i="1" l="1"/>
  <c r="B10" i="135"/>
  <c r="C10" i="135" s="1"/>
  <c r="C10" i="134"/>
  <c r="E58" i="1" s="1"/>
  <c r="D10" i="134"/>
  <c r="F58" i="1" s="1"/>
  <c r="E10" i="134"/>
  <c r="G58" i="1" s="1"/>
  <c r="F10" i="134"/>
  <c r="H58" i="1" s="1"/>
  <c r="G10" i="134"/>
  <c r="I58" i="1" s="1"/>
  <c r="H10" i="134"/>
  <c r="J58" i="1" s="1"/>
  <c r="I10" i="134"/>
  <c r="K58" i="1" s="1"/>
  <c r="J10" i="134"/>
  <c r="L58" i="1" s="1"/>
  <c r="K10" i="134"/>
  <c r="M58" i="1" s="1"/>
  <c r="O58" i="1"/>
  <c r="N58" i="1"/>
  <c r="C58" i="1"/>
  <c r="B10" i="134"/>
  <c r="D58" i="1" s="1"/>
  <c r="N10" i="134"/>
  <c r="P58" i="1" s="1"/>
  <c r="K8" i="46"/>
  <c r="D10" i="135" l="1"/>
  <c r="E59" i="1"/>
  <c r="D59" i="1"/>
  <c r="F59" i="1" l="1"/>
  <c r="E10" i="135"/>
  <c r="F10" i="135" l="1"/>
  <c r="G59" i="1"/>
  <c r="H59" i="1" l="1"/>
  <c r="G10" i="135"/>
  <c r="H10" i="135" l="1"/>
  <c r="I59" i="1"/>
  <c r="H22" i="44"/>
  <c r="J59" i="1" l="1"/>
  <c r="I10" i="135"/>
  <c r="K5" i="50"/>
  <c r="J10" i="135" l="1"/>
  <c r="K10" i="135" s="1"/>
  <c r="L10" i="135" s="1"/>
  <c r="M10" i="135" s="1"/>
  <c r="O59" i="1" s="1"/>
  <c r="K59" i="1"/>
  <c r="D10" i="133"/>
  <c r="E10" i="133" s="1"/>
  <c r="G57" i="1" s="1"/>
  <c r="F10" i="133"/>
  <c r="G10" i="133" s="1"/>
  <c r="I57" i="1" s="1"/>
  <c r="H10" i="133"/>
  <c r="I10" i="133" s="1"/>
  <c r="K57" i="1" s="1"/>
  <c r="J10" i="133"/>
  <c r="L57" i="1" s="1"/>
  <c r="H57" i="1"/>
  <c r="B10" i="133"/>
  <c r="C10" i="133" s="1"/>
  <c r="E57" i="1" s="1"/>
  <c r="C57" i="1"/>
  <c r="P57" i="1"/>
  <c r="C37" i="1"/>
  <c r="O37" i="1"/>
  <c r="C56" i="1"/>
  <c r="O56" i="1"/>
  <c r="P56" i="1"/>
  <c r="C36" i="1"/>
  <c r="C55" i="1"/>
  <c r="C52" i="1"/>
  <c r="C53" i="1"/>
  <c r="O53" i="1"/>
  <c r="C54" i="1"/>
  <c r="O54" i="1"/>
  <c r="C51" i="1"/>
  <c r="C48" i="1"/>
  <c r="N48" i="1"/>
  <c r="O48" i="1"/>
  <c r="C49" i="1"/>
  <c r="N49" i="1"/>
  <c r="O49" i="1"/>
  <c r="C45" i="1"/>
  <c r="O45" i="1"/>
  <c r="C46" i="1"/>
  <c r="N46" i="1"/>
  <c r="O46" i="1"/>
  <c r="C47" i="1"/>
  <c r="N47" i="1"/>
  <c r="O47" i="1"/>
  <c r="C35" i="1"/>
  <c r="O35" i="1"/>
  <c r="C43" i="1"/>
  <c r="N43" i="1"/>
  <c r="O43" i="1"/>
  <c r="C44" i="1"/>
  <c r="N44" i="1"/>
  <c r="O44" i="1"/>
  <c r="C34" i="1"/>
  <c r="O34" i="1"/>
  <c r="C40" i="1"/>
  <c r="N40" i="1"/>
  <c r="O40" i="1"/>
  <c r="C41" i="1"/>
  <c r="C42" i="1"/>
  <c r="H42" i="1"/>
  <c r="N42" i="1"/>
  <c r="O42" i="1"/>
  <c r="C39" i="1"/>
  <c r="C22" i="1"/>
  <c r="N22" i="1"/>
  <c r="O22" i="1"/>
  <c r="C23" i="1"/>
  <c r="N23" i="1"/>
  <c r="O23" i="1"/>
  <c r="C24" i="1"/>
  <c r="N24" i="1"/>
  <c r="O24" i="1"/>
  <c r="C25" i="1"/>
  <c r="O25" i="1"/>
  <c r="C26" i="1"/>
  <c r="C28" i="1"/>
  <c r="C29" i="1"/>
  <c r="C38" i="1"/>
  <c r="C30" i="1"/>
  <c r="C31" i="1"/>
  <c r="O31" i="1"/>
  <c r="C32" i="1"/>
  <c r="N32" i="1"/>
  <c r="O32" i="1"/>
  <c r="C33" i="1"/>
  <c r="N33" i="1"/>
  <c r="O33" i="1"/>
  <c r="C12" i="1"/>
  <c r="C13" i="1"/>
  <c r="C14" i="1"/>
  <c r="C15" i="1"/>
  <c r="C16" i="1"/>
  <c r="C17" i="1"/>
  <c r="C18" i="1"/>
  <c r="N19" i="1"/>
  <c r="O19" i="1"/>
  <c r="C20" i="1"/>
  <c r="C21" i="1"/>
  <c r="C11" i="1"/>
  <c r="C10" i="1"/>
  <c r="O10" i="1"/>
  <c r="C9" i="1"/>
  <c r="J57" i="1" l="1"/>
  <c r="F57" i="1"/>
  <c r="L59" i="1"/>
  <c r="D57" i="1"/>
  <c r="K10" i="133"/>
  <c r="L10" i="133" s="1"/>
  <c r="M10" i="133" s="1"/>
  <c r="M57" i="1" l="1"/>
  <c r="M59" i="1"/>
  <c r="B10" i="130"/>
  <c r="N57" i="1" l="1"/>
  <c r="O57" i="1"/>
  <c r="N59" i="1"/>
  <c r="C10" i="130"/>
  <c r="D56" i="1"/>
  <c r="I6" i="80"/>
  <c r="H6" i="91"/>
  <c r="I8" i="57"/>
  <c r="E56" i="1" l="1"/>
  <c r="D10" i="130"/>
  <c r="N9" i="75"/>
  <c r="E10" i="130" l="1"/>
  <c r="F56" i="1"/>
  <c r="J5" i="125"/>
  <c r="F10" i="130" l="1"/>
  <c r="G56" i="1"/>
  <c r="N3" i="99"/>
  <c r="C27" i="1" s="1"/>
  <c r="N3" i="96"/>
  <c r="C50" i="1" s="1"/>
  <c r="G10" i="130" l="1"/>
  <c r="H56" i="1"/>
  <c r="I9" i="117"/>
  <c r="H9" i="117"/>
  <c r="B10" i="117"/>
  <c r="H10" i="130" l="1"/>
  <c r="I56" i="1"/>
  <c r="C10" i="117"/>
  <c r="D32" i="1"/>
  <c r="D9" i="85"/>
  <c r="I10" i="130" l="1"/>
  <c r="J56" i="1"/>
  <c r="D10" i="117"/>
  <c r="E32" i="1"/>
  <c r="B9" i="46"/>
  <c r="B10" i="46" s="1"/>
  <c r="D10" i="1" l="1"/>
  <c r="C10" i="46"/>
  <c r="J10" i="130"/>
  <c r="K56" i="1"/>
  <c r="E10" i="117"/>
  <c r="F32" i="1"/>
  <c r="H7" i="45"/>
  <c r="F7" i="45"/>
  <c r="K10" i="130" l="1"/>
  <c r="L56" i="1"/>
  <c r="F10" i="117"/>
  <c r="G32" i="1"/>
  <c r="M56" i="1" l="1"/>
  <c r="L10" i="130"/>
  <c r="N56" i="1" s="1"/>
  <c r="G10" i="117"/>
  <c r="H32" i="1"/>
  <c r="H10" i="117" l="1"/>
  <c r="I32" i="1"/>
  <c r="B10" i="129"/>
  <c r="N9" i="129"/>
  <c r="N8" i="129"/>
  <c r="N7" i="129"/>
  <c r="N6" i="129"/>
  <c r="N5" i="129"/>
  <c r="B10" i="127"/>
  <c r="N9" i="127"/>
  <c r="N8" i="127"/>
  <c r="N7" i="127"/>
  <c r="N6" i="127"/>
  <c r="N5" i="127"/>
  <c r="B10" i="126"/>
  <c r="N9" i="126"/>
  <c r="N8" i="126"/>
  <c r="N7" i="126"/>
  <c r="N6" i="126"/>
  <c r="N5" i="126"/>
  <c r="C10" i="129" l="1"/>
  <c r="D37" i="1"/>
  <c r="C10" i="127"/>
  <c r="C10" i="126"/>
  <c r="D33" i="1"/>
  <c r="J32" i="1"/>
  <c r="I10" i="117"/>
  <c r="N10" i="129"/>
  <c r="P37" i="1" s="1"/>
  <c r="N10" i="127"/>
  <c r="N10" i="126"/>
  <c r="P33" i="1" s="1"/>
  <c r="J10" i="117" l="1"/>
  <c r="K32" i="1"/>
  <c r="D10" i="126"/>
  <c r="E33" i="1"/>
  <c r="D10" i="127"/>
  <c r="D10" i="129"/>
  <c r="E37" i="1"/>
  <c r="G9" i="44"/>
  <c r="L32" i="1" l="1"/>
  <c r="K10" i="117"/>
  <c r="M32" i="1" s="1"/>
  <c r="E10" i="126"/>
  <c r="F33" i="1"/>
  <c r="E10" i="127"/>
  <c r="E10" i="129"/>
  <c r="F37" i="1"/>
  <c r="G7" i="59"/>
  <c r="F10" i="129" l="1"/>
  <c r="G37" i="1"/>
  <c r="F10" i="127"/>
  <c r="F10" i="126"/>
  <c r="G33" i="1"/>
  <c r="F7" i="59"/>
  <c r="G10" i="127" l="1"/>
  <c r="G10" i="126"/>
  <c r="H33" i="1"/>
  <c r="G10" i="129"/>
  <c r="H37" i="1"/>
  <c r="B10" i="75"/>
  <c r="C10" i="75" l="1"/>
  <c r="D45" i="1"/>
  <c r="H10" i="129"/>
  <c r="I37" i="1"/>
  <c r="H10" i="126"/>
  <c r="I33" i="1"/>
  <c r="H10" i="127"/>
  <c r="B10" i="44"/>
  <c r="D39" i="1" s="1"/>
  <c r="I10" i="127" l="1"/>
  <c r="I10" i="129"/>
  <c r="J37" i="1"/>
  <c r="I10" i="126"/>
  <c r="J33" i="1"/>
  <c r="D10" i="75"/>
  <c r="E45" i="1"/>
  <c r="G9" i="47"/>
  <c r="E10" i="75" l="1"/>
  <c r="F45" i="1"/>
  <c r="K37" i="1"/>
  <c r="J10" i="129"/>
  <c r="K33" i="1"/>
  <c r="J10" i="126"/>
  <c r="J10" i="127"/>
  <c r="K10" i="127" s="1"/>
  <c r="B10" i="125"/>
  <c r="N9" i="125"/>
  <c r="N8" i="125"/>
  <c r="N7" i="125"/>
  <c r="N6" i="125"/>
  <c r="N5" i="125"/>
  <c r="L37" i="1" l="1"/>
  <c r="K10" i="129"/>
  <c r="L33" i="1"/>
  <c r="K10" i="126"/>
  <c r="M33" i="1" s="1"/>
  <c r="C10" i="125"/>
  <c r="D55" i="1"/>
  <c r="F10" i="75"/>
  <c r="G45" i="1"/>
  <c r="N10" i="125"/>
  <c r="P55" i="1" s="1"/>
  <c r="M37" i="1" l="1"/>
  <c r="L10" i="129"/>
  <c r="N37" i="1" s="1"/>
  <c r="G10" i="75"/>
  <c r="I45" i="1" s="1"/>
  <c r="H45" i="1"/>
  <c r="D10" i="125"/>
  <c r="E55" i="1"/>
  <c r="B10" i="74"/>
  <c r="C10" i="74" l="1"/>
  <c r="E24" i="1" s="1"/>
  <c r="D24" i="1"/>
  <c r="E10" i="125"/>
  <c r="F55" i="1"/>
  <c r="B10" i="124"/>
  <c r="N9" i="124"/>
  <c r="N8" i="124"/>
  <c r="N7" i="124"/>
  <c r="N6" i="124"/>
  <c r="F10" i="125" l="1"/>
  <c r="G55" i="1"/>
  <c r="C10" i="124"/>
  <c r="D36" i="1"/>
  <c r="C8" i="1"/>
  <c r="C7" i="1"/>
  <c r="C6" i="1"/>
  <c r="C5" i="1"/>
  <c r="C4" i="1"/>
  <c r="B10" i="123"/>
  <c r="C10" i="123" s="1"/>
  <c r="D10" i="123" s="1"/>
  <c r="E10" i="123" s="1"/>
  <c r="F10" i="123" s="1"/>
  <c r="G10" i="123" s="1"/>
  <c r="H10" i="123" s="1"/>
  <c r="I10" i="123" s="1"/>
  <c r="J10" i="123" s="1"/>
  <c r="K10" i="123" s="1"/>
  <c r="L10" i="123" s="1"/>
  <c r="M10" i="123" s="1"/>
  <c r="N9" i="123"/>
  <c r="N8" i="123"/>
  <c r="N7" i="123"/>
  <c r="N6" i="123"/>
  <c r="N5" i="123"/>
  <c r="B10" i="120"/>
  <c r="C10" i="120" s="1"/>
  <c r="D10" i="120" s="1"/>
  <c r="E10" i="120" s="1"/>
  <c r="F10" i="120" s="1"/>
  <c r="G10" i="120" s="1"/>
  <c r="H10" i="120" s="1"/>
  <c r="I10" i="120" s="1"/>
  <c r="J10" i="120" s="1"/>
  <c r="K10" i="120" s="1"/>
  <c r="L10" i="120" s="1"/>
  <c r="M10" i="120" s="1"/>
  <c r="N9" i="120"/>
  <c r="N8" i="120"/>
  <c r="N7" i="120"/>
  <c r="N6" i="120"/>
  <c r="N5" i="120"/>
  <c r="B10" i="118"/>
  <c r="C10" i="118" s="1"/>
  <c r="D10" i="118" s="1"/>
  <c r="E10" i="118" s="1"/>
  <c r="F10" i="118" s="1"/>
  <c r="G10" i="118" s="1"/>
  <c r="H10" i="118" s="1"/>
  <c r="I10" i="118" s="1"/>
  <c r="J10" i="118" s="1"/>
  <c r="K10" i="118" s="1"/>
  <c r="L10" i="118" s="1"/>
  <c r="M10" i="118" s="1"/>
  <c r="N9" i="118"/>
  <c r="N8" i="118"/>
  <c r="N7" i="118"/>
  <c r="N6" i="118"/>
  <c r="N5" i="118"/>
  <c r="N9" i="117"/>
  <c r="N8" i="117"/>
  <c r="N7" i="117"/>
  <c r="N6" i="117"/>
  <c r="N5" i="117"/>
  <c r="N9" i="116"/>
  <c r="N8" i="116"/>
  <c r="N7" i="116"/>
  <c r="N6" i="116"/>
  <c r="N5" i="116"/>
  <c r="B10" i="114"/>
  <c r="N9" i="114"/>
  <c r="N8" i="114"/>
  <c r="N7" i="114"/>
  <c r="N6" i="114"/>
  <c r="N5" i="114"/>
  <c r="B10" i="113"/>
  <c r="N9" i="113"/>
  <c r="N8" i="113"/>
  <c r="N7" i="113"/>
  <c r="N6" i="113"/>
  <c r="N5" i="113"/>
  <c r="B10" i="112"/>
  <c r="N9" i="112"/>
  <c r="N8" i="112"/>
  <c r="N7" i="112"/>
  <c r="N6" i="112"/>
  <c r="N5" i="112"/>
  <c r="B10" i="111"/>
  <c r="N9" i="111"/>
  <c r="N8" i="111"/>
  <c r="N7" i="111"/>
  <c r="N6" i="111"/>
  <c r="N5" i="111"/>
  <c r="B10" i="110"/>
  <c r="C10" i="110" s="1"/>
  <c r="N9" i="110"/>
  <c r="N8" i="110"/>
  <c r="N7" i="110"/>
  <c r="N6" i="110"/>
  <c r="N5" i="110"/>
  <c r="B10" i="109"/>
  <c r="C10" i="109" s="1"/>
  <c r="D10" i="109" s="1"/>
  <c r="E10" i="109" s="1"/>
  <c r="F10" i="109" s="1"/>
  <c r="G10" i="109" s="1"/>
  <c r="H10" i="109" s="1"/>
  <c r="I10" i="109" s="1"/>
  <c r="J10" i="109" s="1"/>
  <c r="K10" i="109" s="1"/>
  <c r="L10" i="109" s="1"/>
  <c r="M10" i="109" s="1"/>
  <c r="N9" i="109"/>
  <c r="N8" i="109"/>
  <c r="N7" i="109"/>
  <c r="N6" i="109"/>
  <c r="N5" i="109"/>
  <c r="B10" i="108"/>
  <c r="D52" i="1" s="1"/>
  <c r="N9" i="108"/>
  <c r="N8" i="108"/>
  <c r="N7" i="108"/>
  <c r="N6" i="108"/>
  <c r="N5" i="108"/>
  <c r="B10" i="107"/>
  <c r="N9" i="107"/>
  <c r="N8" i="107"/>
  <c r="N7" i="107"/>
  <c r="N6" i="107"/>
  <c r="N5" i="107"/>
  <c r="B10" i="106"/>
  <c r="C10" i="106" s="1"/>
  <c r="D10" i="106" s="1"/>
  <c r="E10" i="106" s="1"/>
  <c r="F10" i="106" s="1"/>
  <c r="G10" i="106" s="1"/>
  <c r="H10" i="106" s="1"/>
  <c r="I10" i="106" s="1"/>
  <c r="J10" i="106" s="1"/>
  <c r="K10" i="106" s="1"/>
  <c r="L10" i="106" s="1"/>
  <c r="M10" i="106" s="1"/>
  <c r="N9" i="106"/>
  <c r="N8" i="106"/>
  <c r="N7" i="106"/>
  <c r="N6" i="106"/>
  <c r="N5" i="106"/>
  <c r="B10" i="105"/>
  <c r="N9" i="105"/>
  <c r="N8" i="105"/>
  <c r="N7" i="105"/>
  <c r="N6" i="105"/>
  <c r="N5" i="105"/>
  <c r="B10" i="104"/>
  <c r="D30" i="1" s="1"/>
  <c r="N9" i="104"/>
  <c r="N8" i="104"/>
  <c r="N7" i="104"/>
  <c r="N6" i="104"/>
  <c r="N5" i="104"/>
  <c r="B10" i="103"/>
  <c r="N9" i="103"/>
  <c r="N8" i="103"/>
  <c r="N7" i="103"/>
  <c r="N6" i="103"/>
  <c r="N5" i="103"/>
  <c r="B10" i="102"/>
  <c r="N9" i="102"/>
  <c r="N8" i="102"/>
  <c r="N7" i="102"/>
  <c r="N6" i="102"/>
  <c r="N5" i="102"/>
  <c r="B10" i="101"/>
  <c r="N9" i="101"/>
  <c r="N8" i="101"/>
  <c r="N7" i="101"/>
  <c r="N6" i="101"/>
  <c r="N5" i="101"/>
  <c r="B10" i="100"/>
  <c r="N9" i="100"/>
  <c r="N8" i="100"/>
  <c r="N7" i="100"/>
  <c r="N6" i="100"/>
  <c r="N5" i="100"/>
  <c r="N9" i="99"/>
  <c r="N8" i="99"/>
  <c r="N7" i="99"/>
  <c r="N6" i="99"/>
  <c r="N5" i="99"/>
  <c r="B10" i="98"/>
  <c r="C10" i="98" s="1"/>
  <c r="D10" i="98" s="1"/>
  <c r="E10" i="98" s="1"/>
  <c r="F10" i="98" s="1"/>
  <c r="G10" i="98" s="1"/>
  <c r="H10" i="98" s="1"/>
  <c r="I10" i="98" s="1"/>
  <c r="J10" i="98" s="1"/>
  <c r="K10" i="98" s="1"/>
  <c r="L10" i="98" s="1"/>
  <c r="M10" i="98" s="1"/>
  <c r="N9" i="98"/>
  <c r="N8" i="98"/>
  <c r="N7" i="98"/>
  <c r="N6" i="98"/>
  <c r="N5" i="98"/>
  <c r="N9" i="96"/>
  <c r="N8" i="96"/>
  <c r="N7" i="96"/>
  <c r="N6" i="96"/>
  <c r="N5" i="96"/>
  <c r="B10" i="94"/>
  <c r="N9" i="94"/>
  <c r="N8" i="94"/>
  <c r="N7" i="94"/>
  <c r="N6" i="94"/>
  <c r="N5" i="94"/>
  <c r="B10" i="93"/>
  <c r="N9" i="93"/>
  <c r="N8" i="93"/>
  <c r="N7" i="93"/>
  <c r="N6" i="93"/>
  <c r="N5" i="93"/>
  <c r="B10" i="92"/>
  <c r="N9" i="92"/>
  <c r="N8" i="92"/>
  <c r="N7" i="92"/>
  <c r="N6" i="92"/>
  <c r="N5" i="92"/>
  <c r="B10" i="91"/>
  <c r="N9" i="91"/>
  <c r="N8" i="91"/>
  <c r="N7" i="91"/>
  <c r="N6" i="91"/>
  <c r="N5" i="91"/>
  <c r="B10" i="90"/>
  <c r="C10" i="90" s="1"/>
  <c r="D10" i="90" s="1"/>
  <c r="E10" i="90" s="1"/>
  <c r="N9" i="90"/>
  <c r="N8" i="90"/>
  <c r="N7" i="90"/>
  <c r="N6" i="90"/>
  <c r="N5" i="90"/>
  <c r="B10" i="89"/>
  <c r="N9" i="89"/>
  <c r="N8" i="89"/>
  <c r="N7" i="89"/>
  <c r="N6" i="89"/>
  <c r="N5" i="89"/>
  <c r="B10" i="88"/>
  <c r="C10" i="88" s="1"/>
  <c r="D10" i="88" s="1"/>
  <c r="E10" i="88" s="1"/>
  <c r="F10" i="88" s="1"/>
  <c r="G10" i="88" s="1"/>
  <c r="H10" i="88" s="1"/>
  <c r="I10" i="88" s="1"/>
  <c r="J10" i="88" s="1"/>
  <c r="K10" i="88" s="1"/>
  <c r="L10" i="88" s="1"/>
  <c r="M10" i="88" s="1"/>
  <c r="N9" i="88"/>
  <c r="N8" i="88"/>
  <c r="N7" i="88"/>
  <c r="N6" i="88"/>
  <c r="N5" i="88"/>
  <c r="B10" i="87"/>
  <c r="N9" i="87"/>
  <c r="N8" i="87"/>
  <c r="N7" i="87"/>
  <c r="N6" i="87"/>
  <c r="N5" i="87"/>
  <c r="B10" i="86"/>
  <c r="C10" i="86" s="1"/>
  <c r="D10" i="86" s="1"/>
  <c r="E10" i="86" s="1"/>
  <c r="F10" i="86" s="1"/>
  <c r="G10" i="86" s="1"/>
  <c r="H10" i="86" s="1"/>
  <c r="I10" i="86" s="1"/>
  <c r="J10" i="86" s="1"/>
  <c r="K10" i="86" s="1"/>
  <c r="L10" i="86" s="1"/>
  <c r="M10" i="86" s="1"/>
  <c r="N9" i="86"/>
  <c r="N8" i="86"/>
  <c r="N7" i="86"/>
  <c r="N6" i="86"/>
  <c r="N5" i="86"/>
  <c r="B10" i="85"/>
  <c r="C10" i="85" s="1"/>
  <c r="D10" i="85" s="1"/>
  <c r="E10" i="85" s="1"/>
  <c r="N9" i="85"/>
  <c r="N8" i="85"/>
  <c r="N7" i="85"/>
  <c r="N6" i="85"/>
  <c r="N5" i="85"/>
  <c r="B10" i="84"/>
  <c r="N9" i="84"/>
  <c r="N8" i="84"/>
  <c r="N7" i="84"/>
  <c r="N6" i="84"/>
  <c r="N5" i="84"/>
  <c r="B10" i="83"/>
  <c r="C10" i="83" s="1"/>
  <c r="D10" i="83" s="1"/>
  <c r="E10" i="83" s="1"/>
  <c r="F10" i="83" s="1"/>
  <c r="G10" i="83" s="1"/>
  <c r="H10" i="83" s="1"/>
  <c r="I10" i="83" s="1"/>
  <c r="J10" i="83" s="1"/>
  <c r="K10" i="83" s="1"/>
  <c r="L10" i="83" s="1"/>
  <c r="M10" i="83" s="1"/>
  <c r="N9" i="83"/>
  <c r="N8" i="83"/>
  <c r="N7" i="83"/>
  <c r="N6" i="83"/>
  <c r="N5" i="83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9" i="82"/>
  <c r="N8" i="82"/>
  <c r="N7" i="82"/>
  <c r="N6" i="82"/>
  <c r="N5" i="82"/>
  <c r="B10" i="81"/>
  <c r="C10" i="81" s="1"/>
  <c r="D10" i="81" s="1"/>
  <c r="E10" i="81" s="1"/>
  <c r="F10" i="81" s="1"/>
  <c r="G10" i="81" s="1"/>
  <c r="H10" i="81" s="1"/>
  <c r="I10" i="81" s="1"/>
  <c r="J10" i="81" s="1"/>
  <c r="K10" i="81" s="1"/>
  <c r="L10" i="81" s="1"/>
  <c r="M10" i="81" s="1"/>
  <c r="N9" i="81"/>
  <c r="N8" i="81"/>
  <c r="N7" i="81"/>
  <c r="N6" i="81"/>
  <c r="N5" i="81"/>
  <c r="B10" i="80"/>
  <c r="N9" i="80"/>
  <c r="N8" i="80"/>
  <c r="N7" i="80"/>
  <c r="N6" i="80"/>
  <c r="N5" i="80"/>
  <c r="B10" i="78"/>
  <c r="C10" i="78" s="1"/>
  <c r="D10" i="78" s="1"/>
  <c r="E10" i="78" s="1"/>
  <c r="F10" i="78" s="1"/>
  <c r="G10" i="78" s="1"/>
  <c r="H10" i="78" s="1"/>
  <c r="I10" i="78" s="1"/>
  <c r="J10" i="78" s="1"/>
  <c r="K10" i="78" s="1"/>
  <c r="L10" i="78" s="1"/>
  <c r="M10" i="78" s="1"/>
  <c r="N9" i="78"/>
  <c r="N8" i="78"/>
  <c r="N7" i="78"/>
  <c r="N6" i="78"/>
  <c r="N5" i="78"/>
  <c r="B10" i="77"/>
  <c r="C10" i="77" s="1"/>
  <c r="D10" i="77" s="1"/>
  <c r="E10" i="77" s="1"/>
  <c r="F10" i="77" s="1"/>
  <c r="G10" i="77" s="1"/>
  <c r="H10" i="77" s="1"/>
  <c r="I10" i="77" s="1"/>
  <c r="J10" i="77" s="1"/>
  <c r="K10" i="77" s="1"/>
  <c r="L10" i="77" s="1"/>
  <c r="M10" i="77" s="1"/>
  <c r="N9" i="77"/>
  <c r="N8" i="77"/>
  <c r="N7" i="77"/>
  <c r="N6" i="77"/>
  <c r="N5" i="77"/>
  <c r="C10" i="103" l="1"/>
  <c r="D38" i="1"/>
  <c r="C10" i="93"/>
  <c r="D49" i="1"/>
  <c r="C10" i="91"/>
  <c r="D48" i="1"/>
  <c r="C10" i="111"/>
  <c r="D53" i="1"/>
  <c r="C10" i="89"/>
  <c r="D26" i="1"/>
  <c r="D10" i="124"/>
  <c r="E36" i="1"/>
  <c r="C10" i="80"/>
  <c r="D47" i="1"/>
  <c r="C10" i="87"/>
  <c r="D25" i="1"/>
  <c r="C10" i="100"/>
  <c r="D28" i="1"/>
  <c r="C10" i="102"/>
  <c r="E29" i="1" s="1"/>
  <c r="D29" i="1"/>
  <c r="C10" i="105"/>
  <c r="D51" i="1"/>
  <c r="C10" i="107"/>
  <c r="D31" i="1"/>
  <c r="G10" i="125"/>
  <c r="H55" i="1"/>
  <c r="C10" i="101"/>
  <c r="C10" i="113"/>
  <c r="D10" i="113" s="1"/>
  <c r="E10" i="113" s="1"/>
  <c r="F10" i="113" s="1"/>
  <c r="G10" i="113" s="1"/>
  <c r="H10" i="113" s="1"/>
  <c r="I10" i="113" s="1"/>
  <c r="J10" i="113" s="1"/>
  <c r="K10" i="113" s="1"/>
  <c r="L10" i="113" s="1"/>
  <c r="M10" i="113" s="1"/>
  <c r="N10" i="113"/>
  <c r="C10" i="94"/>
  <c r="D10" i="94" s="1"/>
  <c r="E10" i="94" s="1"/>
  <c r="F10" i="94" s="1"/>
  <c r="G10" i="94" s="1"/>
  <c r="H10" i="94" s="1"/>
  <c r="I10" i="94" s="1"/>
  <c r="J10" i="94" s="1"/>
  <c r="K10" i="94" s="1"/>
  <c r="L10" i="94" s="1"/>
  <c r="M10" i="94" s="1"/>
  <c r="N10" i="118"/>
  <c r="C10" i="84"/>
  <c r="D10" i="84" s="1"/>
  <c r="E10" i="84" s="1"/>
  <c r="F10" i="84" s="1"/>
  <c r="G10" i="84" s="1"/>
  <c r="N10" i="81"/>
  <c r="N10" i="109"/>
  <c r="N10" i="106"/>
  <c r="N10" i="82"/>
  <c r="N10" i="114"/>
  <c r="N10" i="120"/>
  <c r="N10" i="94"/>
  <c r="D10" i="110"/>
  <c r="C10" i="114"/>
  <c r="N10" i="86"/>
  <c r="N10" i="88"/>
  <c r="N10" i="108"/>
  <c r="P52" i="1" s="1"/>
  <c r="N10" i="77"/>
  <c r="N10" i="110"/>
  <c r="N10" i="87"/>
  <c r="P25" i="1" s="1"/>
  <c r="N10" i="91"/>
  <c r="P48" i="1" s="1"/>
  <c r="C10" i="92"/>
  <c r="N10" i="112"/>
  <c r="N10" i="123"/>
  <c r="N10" i="84"/>
  <c r="N10" i="92"/>
  <c r="C10" i="112"/>
  <c r="C10" i="108"/>
  <c r="E52" i="1" s="1"/>
  <c r="N10" i="107"/>
  <c r="P31" i="1" s="1"/>
  <c r="N10" i="117"/>
  <c r="P32" i="1" s="1"/>
  <c r="N10" i="111"/>
  <c r="P53" i="1" s="1"/>
  <c r="N10" i="105"/>
  <c r="P51" i="1" s="1"/>
  <c r="N10" i="104"/>
  <c r="P30" i="1" s="1"/>
  <c r="C10" i="104"/>
  <c r="E30" i="1" s="1"/>
  <c r="N10" i="103"/>
  <c r="P38" i="1" s="1"/>
  <c r="N10" i="102"/>
  <c r="P29" i="1" s="1"/>
  <c r="N10" i="101"/>
  <c r="N10" i="100"/>
  <c r="P28" i="1" s="1"/>
  <c r="N10" i="98"/>
  <c r="N10" i="93"/>
  <c r="P49" i="1" s="1"/>
  <c r="N10" i="90"/>
  <c r="N10" i="89"/>
  <c r="P26" i="1" s="1"/>
  <c r="N10" i="85"/>
  <c r="N10" i="83"/>
  <c r="N10" i="80"/>
  <c r="P47" i="1" s="1"/>
  <c r="N10" i="78"/>
  <c r="B10" i="76"/>
  <c r="N9" i="76"/>
  <c r="N8" i="76"/>
  <c r="N7" i="76"/>
  <c r="N6" i="76"/>
  <c r="N5" i="76"/>
  <c r="N8" i="75"/>
  <c r="N6" i="75"/>
  <c r="N5" i="75"/>
  <c r="N9" i="74"/>
  <c r="N8" i="74"/>
  <c r="N7" i="74"/>
  <c r="N6" i="74"/>
  <c r="N5" i="74"/>
  <c r="B10" i="73"/>
  <c r="N9" i="73"/>
  <c r="N8" i="73"/>
  <c r="N7" i="73"/>
  <c r="N6" i="73"/>
  <c r="N5" i="73"/>
  <c r="B10" i="72"/>
  <c r="D23" i="1" s="1"/>
  <c r="N9" i="72"/>
  <c r="N8" i="72"/>
  <c r="N7" i="72"/>
  <c r="N6" i="72"/>
  <c r="N5" i="72"/>
  <c r="B10" i="71"/>
  <c r="D35" i="1" s="1"/>
  <c r="N9" i="71"/>
  <c r="N8" i="71"/>
  <c r="N7" i="71"/>
  <c r="N6" i="71"/>
  <c r="N5" i="71"/>
  <c r="B10" i="70"/>
  <c r="N9" i="70"/>
  <c r="N8" i="70"/>
  <c r="N7" i="70"/>
  <c r="N6" i="70"/>
  <c r="N5" i="70"/>
  <c r="B10" i="69"/>
  <c r="D22" i="1" s="1"/>
  <c r="N9" i="69"/>
  <c r="N8" i="69"/>
  <c r="N7" i="69"/>
  <c r="N6" i="69"/>
  <c r="N5" i="69"/>
  <c r="B10" i="68"/>
  <c r="D44" i="1" s="1"/>
  <c r="N9" i="68"/>
  <c r="N8" i="68"/>
  <c r="N7" i="68"/>
  <c r="N6" i="68"/>
  <c r="N5" i="68"/>
  <c r="B10" i="67"/>
  <c r="D43" i="1" s="1"/>
  <c r="N9" i="67"/>
  <c r="N8" i="67"/>
  <c r="N7" i="67"/>
  <c r="N6" i="67"/>
  <c r="N5" i="67"/>
  <c r="B10" i="66"/>
  <c r="N9" i="66"/>
  <c r="N8" i="66"/>
  <c r="N7" i="66"/>
  <c r="N6" i="66"/>
  <c r="N5" i="66"/>
  <c r="B10" i="65"/>
  <c r="D21" i="1" s="1"/>
  <c r="N9" i="65"/>
  <c r="N8" i="65"/>
  <c r="N7" i="65"/>
  <c r="N6" i="65"/>
  <c r="N5" i="65"/>
  <c r="B10" i="64"/>
  <c r="D20" i="1" s="1"/>
  <c r="N9" i="64"/>
  <c r="N8" i="64"/>
  <c r="N7" i="64"/>
  <c r="N6" i="64"/>
  <c r="N5" i="64"/>
  <c r="B10" i="63"/>
  <c r="N9" i="63"/>
  <c r="N8" i="63"/>
  <c r="N7" i="63"/>
  <c r="N6" i="63"/>
  <c r="N5" i="63"/>
  <c r="B10" i="62"/>
  <c r="D18" i="1" s="1"/>
  <c r="N9" i="62"/>
  <c r="N8" i="62"/>
  <c r="N7" i="62"/>
  <c r="N6" i="62"/>
  <c r="N5" i="62"/>
  <c r="B10" i="61"/>
  <c r="D17" i="1" s="1"/>
  <c r="N9" i="61"/>
  <c r="N8" i="61"/>
  <c r="N7" i="61"/>
  <c r="N6" i="61"/>
  <c r="N5" i="61"/>
  <c r="B10" i="60"/>
  <c r="D34" i="1" s="1"/>
  <c r="N9" i="60"/>
  <c r="N8" i="60"/>
  <c r="N7" i="60"/>
  <c r="N6" i="60"/>
  <c r="N5" i="60"/>
  <c r="B10" i="59"/>
  <c r="D16" i="1" s="1"/>
  <c r="N9" i="59"/>
  <c r="N8" i="59"/>
  <c r="N7" i="59"/>
  <c r="N6" i="59"/>
  <c r="N5" i="59"/>
  <c r="B10" i="58"/>
  <c r="D42" i="1" s="1"/>
  <c r="N9" i="58"/>
  <c r="N8" i="58"/>
  <c r="N7" i="58"/>
  <c r="N6" i="58"/>
  <c r="N5" i="58"/>
  <c r="B10" i="57"/>
  <c r="N9" i="57"/>
  <c r="N8" i="57"/>
  <c r="N7" i="57"/>
  <c r="N6" i="57"/>
  <c r="N5" i="57"/>
  <c r="B10" i="56"/>
  <c r="D40" i="1" s="1"/>
  <c r="N9" i="56"/>
  <c r="N8" i="56"/>
  <c r="N7" i="56"/>
  <c r="N6" i="56"/>
  <c r="N5" i="56"/>
  <c r="B10" i="54"/>
  <c r="D15" i="1" s="1"/>
  <c r="N9" i="54"/>
  <c r="N8" i="54"/>
  <c r="N7" i="54"/>
  <c r="N6" i="54"/>
  <c r="N5" i="54"/>
  <c r="B10" i="53"/>
  <c r="D14" i="1" s="1"/>
  <c r="N9" i="53"/>
  <c r="N8" i="53"/>
  <c r="N7" i="53"/>
  <c r="N6" i="53"/>
  <c r="N5" i="53"/>
  <c r="B10" i="52"/>
  <c r="D13" i="1" s="1"/>
  <c r="N9" i="52"/>
  <c r="N8" i="52"/>
  <c r="N7" i="52"/>
  <c r="N6" i="52"/>
  <c r="N5" i="52"/>
  <c r="B10" i="51"/>
  <c r="D12" i="1" s="1"/>
  <c r="N9" i="51"/>
  <c r="N8" i="51"/>
  <c r="N7" i="51"/>
  <c r="N6" i="51"/>
  <c r="N5" i="51"/>
  <c r="B10" i="50"/>
  <c r="D7" i="1" s="1"/>
  <c r="N9" i="50"/>
  <c r="N8" i="50"/>
  <c r="N7" i="50"/>
  <c r="N6" i="50"/>
  <c r="N5" i="50"/>
  <c r="B10" i="49"/>
  <c r="D6" i="1" s="1"/>
  <c r="N9" i="49"/>
  <c r="N8" i="49"/>
  <c r="N7" i="49"/>
  <c r="N6" i="49"/>
  <c r="N5" i="49"/>
  <c r="B10" i="48"/>
  <c r="D11" i="1" s="1"/>
  <c r="N9" i="48"/>
  <c r="N8" i="48"/>
  <c r="N7" i="48"/>
  <c r="N6" i="48"/>
  <c r="N5" i="48"/>
  <c r="B10" i="47"/>
  <c r="D5" i="1" s="1"/>
  <c r="N9" i="47"/>
  <c r="N8" i="47"/>
  <c r="N7" i="47"/>
  <c r="N6" i="47"/>
  <c r="N5" i="47"/>
  <c r="N9" i="46"/>
  <c r="N8" i="46"/>
  <c r="N7" i="46"/>
  <c r="N6" i="46"/>
  <c r="N5" i="46"/>
  <c r="B10" i="45"/>
  <c r="N9" i="45"/>
  <c r="N8" i="45"/>
  <c r="N7" i="45"/>
  <c r="N6" i="45"/>
  <c r="N5" i="45"/>
  <c r="N9" i="44"/>
  <c r="N8" i="44"/>
  <c r="N7" i="44"/>
  <c r="N6" i="44"/>
  <c r="N5" i="44"/>
  <c r="N9" i="43"/>
  <c r="N8" i="43"/>
  <c r="N7" i="43"/>
  <c r="N6" i="43"/>
  <c r="N5" i="43"/>
  <c r="B10" i="2"/>
  <c r="D9" i="1" s="1"/>
  <c r="N9" i="2"/>
  <c r="N8" i="2"/>
  <c r="N7" i="2"/>
  <c r="N6" i="2"/>
  <c r="N10" i="48" l="1"/>
  <c r="D41" i="1"/>
  <c r="D10" i="107"/>
  <c r="E31" i="1"/>
  <c r="E10" i="124"/>
  <c r="F36" i="1"/>
  <c r="D10" i="105"/>
  <c r="E51" i="1"/>
  <c r="D10" i="89"/>
  <c r="E26" i="1"/>
  <c r="C19" i="1"/>
  <c r="D19" i="1"/>
  <c r="D10" i="111"/>
  <c r="E53" i="1"/>
  <c r="D10" i="91"/>
  <c r="E48" i="1"/>
  <c r="D10" i="87"/>
  <c r="E25" i="1"/>
  <c r="D10" i="93"/>
  <c r="E49" i="1"/>
  <c r="D10" i="102"/>
  <c r="F29" i="1" s="1"/>
  <c r="D10" i="100"/>
  <c r="E28" i="1"/>
  <c r="C10" i="76"/>
  <c r="D46" i="1"/>
  <c r="H10" i="125"/>
  <c r="I55" i="1"/>
  <c r="D10" i="80"/>
  <c r="E47" i="1"/>
  <c r="D10" i="103"/>
  <c r="E38" i="1"/>
  <c r="D10" i="101"/>
  <c r="N10" i="74"/>
  <c r="P24" i="1" s="1"/>
  <c r="H10" i="84"/>
  <c r="N10" i="53"/>
  <c r="P14" i="1" s="1"/>
  <c r="N10" i="60"/>
  <c r="P34" i="1" s="1"/>
  <c r="N10" i="72"/>
  <c r="P23" i="1" s="1"/>
  <c r="D10" i="112"/>
  <c r="N10" i="59"/>
  <c r="P16" i="1" s="1"/>
  <c r="N10" i="61"/>
  <c r="P17" i="1" s="1"/>
  <c r="N10" i="73"/>
  <c r="D10" i="92"/>
  <c r="D10" i="114"/>
  <c r="C10" i="73"/>
  <c r="N10" i="63"/>
  <c r="P19" i="1" s="1"/>
  <c r="E10" i="110"/>
  <c r="D10" i="108"/>
  <c r="F52" i="1" s="1"/>
  <c r="D10" i="104"/>
  <c r="F30" i="1" s="1"/>
  <c r="N10" i="76"/>
  <c r="P46" i="1" s="1"/>
  <c r="N10" i="75"/>
  <c r="P45" i="1" s="1"/>
  <c r="C10" i="72"/>
  <c r="C10" i="70"/>
  <c r="N10" i="70"/>
  <c r="N10" i="69"/>
  <c r="P22" i="1" s="1"/>
  <c r="C10" i="69"/>
  <c r="E22" i="1" s="1"/>
  <c r="N10" i="68"/>
  <c r="P44" i="1" s="1"/>
  <c r="C10" i="68"/>
  <c r="E44" i="1" s="1"/>
  <c r="N10" i="67"/>
  <c r="P43" i="1" s="1"/>
  <c r="C10" i="67"/>
  <c r="E43" i="1" s="1"/>
  <c r="N10" i="66"/>
  <c r="P8" i="1" s="1"/>
  <c r="C10" i="66"/>
  <c r="D8" i="1"/>
  <c r="C10" i="65"/>
  <c r="E21" i="1" s="1"/>
  <c r="N10" i="65"/>
  <c r="P21" i="1" s="1"/>
  <c r="N10" i="64"/>
  <c r="P20" i="1" s="1"/>
  <c r="C10" i="64"/>
  <c r="E20" i="1" s="1"/>
  <c r="C10" i="63"/>
  <c r="E19" i="1" s="1"/>
  <c r="C10" i="62"/>
  <c r="N10" i="62"/>
  <c r="P18" i="1" s="1"/>
  <c r="C10" i="61"/>
  <c r="E17" i="1" s="1"/>
  <c r="C10" i="60"/>
  <c r="E34" i="1" s="1"/>
  <c r="C10" i="59"/>
  <c r="E16" i="1" s="1"/>
  <c r="N10" i="44"/>
  <c r="P39" i="1" s="1"/>
  <c r="N10" i="58"/>
  <c r="P42" i="1" s="1"/>
  <c r="C10" i="58"/>
  <c r="E42" i="1" s="1"/>
  <c r="N10" i="71"/>
  <c r="P35" i="1" s="1"/>
  <c r="C10" i="71"/>
  <c r="E35" i="1" s="1"/>
  <c r="N10" i="46"/>
  <c r="P10" i="1" s="1"/>
  <c r="E10" i="1"/>
  <c r="N10" i="57"/>
  <c r="P41" i="1" s="1"/>
  <c r="C10" i="57"/>
  <c r="N10" i="56"/>
  <c r="P40" i="1" s="1"/>
  <c r="C10" i="56"/>
  <c r="E40" i="1" s="1"/>
  <c r="N10" i="54"/>
  <c r="P15" i="1" s="1"/>
  <c r="C10" i="54"/>
  <c r="E15" i="1" s="1"/>
  <c r="C10" i="53"/>
  <c r="E14" i="1" s="1"/>
  <c r="C10" i="52"/>
  <c r="N10" i="52"/>
  <c r="P13" i="1" s="1"/>
  <c r="N10" i="51"/>
  <c r="P12" i="1" s="1"/>
  <c r="C10" i="51"/>
  <c r="E12" i="1" s="1"/>
  <c r="N10" i="50"/>
  <c r="P7" i="1" s="1"/>
  <c r="C10" i="50"/>
  <c r="N10" i="49"/>
  <c r="P6" i="1" s="1"/>
  <c r="C10" i="49"/>
  <c r="D10" i="49" s="1"/>
  <c r="E10" i="49" s="1"/>
  <c r="F10" i="49" s="1"/>
  <c r="G10" i="49" s="1"/>
  <c r="N10" i="47"/>
  <c r="P5" i="1" s="1"/>
  <c r="C10" i="47"/>
  <c r="N10" i="45"/>
  <c r="P4" i="1" s="1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D4" i="1"/>
  <c r="C10" i="44"/>
  <c r="P11" i="1"/>
  <c r="C10" i="48"/>
  <c r="E11" i="1" s="1"/>
  <c r="N10" i="2"/>
  <c r="P9" i="1" s="1"/>
  <c r="C10" i="2"/>
  <c r="E9" i="1" s="1"/>
  <c r="E41" i="1" l="1"/>
  <c r="E39" i="1"/>
  <c r="D10" i="44"/>
  <c r="E10" i="44" s="1"/>
  <c r="F10" i="44" s="1"/>
  <c r="G10" i="44" s="1"/>
  <c r="H10" i="44" s="1"/>
  <c r="I10" i="44" s="1"/>
  <c r="J10" i="44" s="1"/>
  <c r="K10" i="44" s="1"/>
  <c r="L10" i="44" s="1"/>
  <c r="J55" i="1"/>
  <c r="I10" i="125"/>
  <c r="E10" i="102"/>
  <c r="D10" i="52"/>
  <c r="E13" i="1"/>
  <c r="D10" i="76"/>
  <c r="E46" i="1"/>
  <c r="E10" i="100"/>
  <c r="F28" i="1"/>
  <c r="E10" i="105"/>
  <c r="F51" i="1"/>
  <c r="E10" i="103"/>
  <c r="F38" i="1"/>
  <c r="E10" i="87"/>
  <c r="F25" i="1"/>
  <c r="F10" i="124"/>
  <c r="G36" i="1"/>
  <c r="D10" i="72"/>
  <c r="F23" i="1" s="1"/>
  <c r="E23" i="1"/>
  <c r="E10" i="80"/>
  <c r="F47" i="1"/>
  <c r="E10" i="111"/>
  <c r="F53" i="1"/>
  <c r="E10" i="89"/>
  <c r="F26" i="1"/>
  <c r="D10" i="62"/>
  <c r="F18" i="1" s="1"/>
  <c r="E18" i="1"/>
  <c r="E10" i="93"/>
  <c r="F49" i="1"/>
  <c r="E10" i="91"/>
  <c r="F48" i="1"/>
  <c r="E10" i="107"/>
  <c r="F31" i="1"/>
  <c r="E10" i="101"/>
  <c r="H10" i="49"/>
  <c r="I10" i="49" s="1"/>
  <c r="J10" i="49" s="1"/>
  <c r="K10" i="49" s="1"/>
  <c r="L10" i="49" s="1"/>
  <c r="M10" i="49" s="1"/>
  <c r="I10" i="84"/>
  <c r="E10" i="92"/>
  <c r="F10" i="110"/>
  <c r="E10" i="112"/>
  <c r="D10" i="74"/>
  <c r="F24" i="1" s="1"/>
  <c r="D10" i="73"/>
  <c r="E10" i="114"/>
  <c r="E10" i="108"/>
  <c r="E10" i="104"/>
  <c r="D10" i="70"/>
  <c r="D10" i="69"/>
  <c r="F22" i="1" s="1"/>
  <c r="D10" i="68"/>
  <c r="F44" i="1" s="1"/>
  <c r="D10" i="67"/>
  <c r="F43" i="1" s="1"/>
  <c r="D10" i="66"/>
  <c r="E8" i="1"/>
  <c r="D10" i="65"/>
  <c r="F21" i="1" s="1"/>
  <c r="D10" i="64"/>
  <c r="F20" i="1" s="1"/>
  <c r="D10" i="63"/>
  <c r="F19" i="1" s="1"/>
  <c r="E10" i="62"/>
  <c r="D10" i="61"/>
  <c r="F17" i="1" s="1"/>
  <c r="D10" i="60"/>
  <c r="F34" i="1" s="1"/>
  <c r="D10" i="59"/>
  <c r="F16" i="1" s="1"/>
  <c r="D10" i="58"/>
  <c r="F42" i="1" s="1"/>
  <c r="D10" i="71"/>
  <c r="D10" i="46"/>
  <c r="D10" i="57"/>
  <c r="D10" i="56"/>
  <c r="D10" i="54"/>
  <c r="D10" i="53"/>
  <c r="D10" i="5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E7" i="1"/>
  <c r="E6" i="1"/>
  <c r="F6" i="1"/>
  <c r="D10" i="47"/>
  <c r="E10" i="47" s="1"/>
  <c r="F10" i="47" s="1"/>
  <c r="G10" i="47" s="1"/>
  <c r="H10" i="47" s="1"/>
  <c r="I10" i="47" s="1"/>
  <c r="J10" i="47" s="1"/>
  <c r="K10" i="47" s="1"/>
  <c r="L10" i="47" s="1"/>
  <c r="M10" i="47" s="1"/>
  <c r="E5" i="1"/>
  <c r="E4" i="1"/>
  <c r="F39" i="1"/>
  <c r="D10" i="48"/>
  <c r="D10" i="2"/>
  <c r="M10" i="44" l="1"/>
  <c r="O39" i="1" s="1"/>
  <c r="N39" i="1"/>
  <c r="E10" i="72"/>
  <c r="G38" i="1"/>
  <c r="F10" i="103"/>
  <c r="E10" i="71"/>
  <c r="F35" i="1"/>
  <c r="G53" i="1"/>
  <c r="F10" i="111"/>
  <c r="G51" i="1"/>
  <c r="F10" i="105"/>
  <c r="E10" i="57"/>
  <c r="F41" i="1"/>
  <c r="G26" i="1"/>
  <c r="F10" i="89"/>
  <c r="G31" i="1"/>
  <c r="F10" i="107"/>
  <c r="F10" i="72"/>
  <c r="G23" i="1"/>
  <c r="F10" i="62"/>
  <c r="G18" i="1"/>
  <c r="G49" i="1"/>
  <c r="F10" i="93"/>
  <c r="G10" i="124"/>
  <c r="H36" i="1"/>
  <c r="E10" i="52"/>
  <c r="F13" i="1"/>
  <c r="G47" i="1"/>
  <c r="F10" i="80"/>
  <c r="F10" i="104"/>
  <c r="G30" i="1"/>
  <c r="E10" i="76"/>
  <c r="F46" i="1"/>
  <c r="F10" i="108"/>
  <c r="G52" i="1"/>
  <c r="E10" i="51"/>
  <c r="F12" i="1"/>
  <c r="E10" i="53"/>
  <c r="F14" i="1"/>
  <c r="F10" i="102"/>
  <c r="G29" i="1"/>
  <c r="G48" i="1"/>
  <c r="F10" i="91"/>
  <c r="E10" i="2"/>
  <c r="F9" i="1"/>
  <c r="G25" i="1"/>
  <c r="F10" i="87"/>
  <c r="K55" i="1"/>
  <c r="J10" i="125"/>
  <c r="E10" i="46"/>
  <c r="F10" i="1"/>
  <c r="G28" i="1"/>
  <c r="F10" i="100"/>
  <c r="E10" i="54"/>
  <c r="F15" i="1"/>
  <c r="E10" i="48"/>
  <c r="F11" i="1"/>
  <c r="E10" i="56"/>
  <c r="F40" i="1"/>
  <c r="F10" i="101"/>
  <c r="J10" i="84"/>
  <c r="F10" i="114"/>
  <c r="E10" i="74"/>
  <c r="F10" i="112"/>
  <c r="G10" i="110"/>
  <c r="E10" i="73"/>
  <c r="F10" i="92"/>
  <c r="H10" i="75"/>
  <c r="E10" i="70"/>
  <c r="E10" i="69"/>
  <c r="E10" i="68"/>
  <c r="E10" i="67"/>
  <c r="E10" i="66"/>
  <c r="F10" i="66" s="1"/>
  <c r="G10" i="66" s="1"/>
  <c r="H10" i="66" s="1"/>
  <c r="I10" i="66" s="1"/>
  <c r="J10" i="66" s="1"/>
  <c r="K10" i="66" s="1"/>
  <c r="F8" i="1"/>
  <c r="E10" i="65"/>
  <c r="E10" i="64"/>
  <c r="E10" i="63"/>
  <c r="E10" i="61"/>
  <c r="E10" i="60"/>
  <c r="E10" i="59"/>
  <c r="E10" i="58"/>
  <c r="F7" i="1"/>
  <c r="G6" i="1"/>
  <c r="F5" i="1"/>
  <c r="F4" i="1"/>
  <c r="L55" i="1" l="1"/>
  <c r="K10" i="125"/>
  <c r="F10" i="69"/>
  <c r="G22" i="1"/>
  <c r="F10" i="46"/>
  <c r="G10" i="1"/>
  <c r="I10" i="75"/>
  <c r="J45" i="1"/>
  <c r="F10" i="60"/>
  <c r="G34" i="1"/>
  <c r="G39" i="1"/>
  <c r="F10" i="51"/>
  <c r="G12" i="1"/>
  <c r="H10" i="124"/>
  <c r="I36" i="1"/>
  <c r="F10" i="57"/>
  <c r="G41" i="1"/>
  <c r="F10" i="59"/>
  <c r="G16" i="1"/>
  <c r="H51" i="1"/>
  <c r="G10" i="105"/>
  <c r="F10" i="52"/>
  <c r="G13" i="1"/>
  <c r="F10" i="61"/>
  <c r="G17" i="1"/>
  <c r="G10" i="93"/>
  <c r="H49" i="1"/>
  <c r="G10" i="108"/>
  <c r="H52" i="1"/>
  <c r="F10" i="76"/>
  <c r="G46" i="1"/>
  <c r="G10" i="91"/>
  <c r="H48" i="1"/>
  <c r="G10" i="89"/>
  <c r="H26" i="1"/>
  <c r="G10" i="87"/>
  <c r="H25" i="1"/>
  <c r="F10" i="56"/>
  <c r="G40" i="1"/>
  <c r="F10" i="65"/>
  <c r="G21" i="1"/>
  <c r="F10" i="2"/>
  <c r="G9" i="1"/>
  <c r="F10" i="54"/>
  <c r="G15" i="1"/>
  <c r="G10" i="104"/>
  <c r="H30" i="1"/>
  <c r="G10" i="72"/>
  <c r="H23" i="1"/>
  <c r="F10" i="71"/>
  <c r="G35" i="1"/>
  <c r="F10" i="53"/>
  <c r="G14" i="1"/>
  <c r="F10" i="63"/>
  <c r="G19" i="1"/>
  <c r="F10" i="48"/>
  <c r="G11" i="1"/>
  <c r="G10" i="62"/>
  <c r="H18" i="1"/>
  <c r="F10" i="74"/>
  <c r="G24" i="1"/>
  <c r="G10" i="80"/>
  <c r="H47" i="1"/>
  <c r="G10" i="107"/>
  <c r="H31" i="1"/>
  <c r="G10" i="103"/>
  <c r="H38" i="1"/>
  <c r="G10" i="58"/>
  <c r="G42" i="1"/>
  <c r="F10" i="64"/>
  <c r="G20" i="1"/>
  <c r="G10" i="111"/>
  <c r="H53" i="1"/>
  <c r="F10" i="67"/>
  <c r="G43" i="1"/>
  <c r="G10" i="100"/>
  <c r="H28" i="1"/>
  <c r="F10" i="68"/>
  <c r="G44" i="1"/>
  <c r="G10" i="102"/>
  <c r="H29" i="1"/>
  <c r="G10" i="101"/>
  <c r="K10" i="84"/>
  <c r="G10" i="92"/>
  <c r="F10" i="73"/>
  <c r="G10" i="112"/>
  <c r="H10" i="110"/>
  <c r="G10" i="114"/>
  <c r="F10" i="70"/>
  <c r="G8" i="1"/>
  <c r="G7" i="1"/>
  <c r="H6" i="1"/>
  <c r="G5" i="1"/>
  <c r="G4" i="1"/>
  <c r="M55" i="1" l="1"/>
  <c r="L10" i="125"/>
  <c r="H10" i="111"/>
  <c r="I53" i="1"/>
  <c r="G10" i="64"/>
  <c r="H20" i="1"/>
  <c r="H10" i="62"/>
  <c r="I18" i="1"/>
  <c r="H10" i="104"/>
  <c r="I30" i="1"/>
  <c r="H10" i="89"/>
  <c r="I26" i="1"/>
  <c r="G10" i="52"/>
  <c r="H13" i="1"/>
  <c r="H39" i="1"/>
  <c r="G10" i="61"/>
  <c r="H17" i="1"/>
  <c r="G10" i="48"/>
  <c r="H11" i="1"/>
  <c r="H10" i="72"/>
  <c r="I23" i="1"/>
  <c r="H10" i="58"/>
  <c r="I42" i="1"/>
  <c r="H10" i="103"/>
  <c r="I38" i="1"/>
  <c r="G10" i="63"/>
  <c r="H19" i="1"/>
  <c r="J10" i="75"/>
  <c r="K45" i="1"/>
  <c r="H10" i="87"/>
  <c r="I25" i="1"/>
  <c r="I51" i="1"/>
  <c r="H10" i="105"/>
  <c r="H10" i="102"/>
  <c r="I29" i="1"/>
  <c r="I48" i="1"/>
  <c r="H10" i="91"/>
  <c r="G10" i="68"/>
  <c r="H44" i="1"/>
  <c r="G10" i="76"/>
  <c r="H46" i="1"/>
  <c r="H10" i="100"/>
  <c r="I28" i="1"/>
  <c r="G10" i="53"/>
  <c r="H14" i="1"/>
  <c r="H10" i="108"/>
  <c r="I52" i="1"/>
  <c r="G10" i="57"/>
  <c r="H41" i="1"/>
  <c r="G10" i="46"/>
  <c r="H10" i="1"/>
  <c r="G10" i="74"/>
  <c r="H24" i="1"/>
  <c r="G10" i="54"/>
  <c r="H15" i="1"/>
  <c r="G10" i="59"/>
  <c r="H16" i="1"/>
  <c r="I31" i="1"/>
  <c r="H10" i="107"/>
  <c r="G10" i="65"/>
  <c r="H21" i="1"/>
  <c r="G10" i="51"/>
  <c r="H12" i="1"/>
  <c r="G10" i="60"/>
  <c r="H34" i="1"/>
  <c r="G10" i="2"/>
  <c r="H9" i="1"/>
  <c r="G10" i="67"/>
  <c r="H43" i="1"/>
  <c r="H10" i="80"/>
  <c r="I47" i="1"/>
  <c r="G10" i="71"/>
  <c r="H35" i="1"/>
  <c r="G10" i="56"/>
  <c r="H40" i="1"/>
  <c r="H10" i="93"/>
  <c r="I49" i="1"/>
  <c r="I10" i="124"/>
  <c r="J36" i="1"/>
  <c r="G10" i="69"/>
  <c r="H22" i="1"/>
  <c r="H10" i="101"/>
  <c r="L10" i="84"/>
  <c r="H10" i="114"/>
  <c r="H10" i="112"/>
  <c r="I10" i="110"/>
  <c r="G10" i="73"/>
  <c r="H10" i="92"/>
  <c r="G10" i="70"/>
  <c r="H8" i="1"/>
  <c r="H7" i="1"/>
  <c r="I6" i="1"/>
  <c r="H5" i="1"/>
  <c r="H4" i="1"/>
  <c r="M10" i="125" l="1"/>
  <c r="O55" i="1" s="1"/>
  <c r="N55" i="1"/>
  <c r="J23" i="1"/>
  <c r="I10" i="72"/>
  <c r="L45" i="1"/>
  <c r="K10" i="75"/>
  <c r="L10" i="75" s="1"/>
  <c r="H10" i="57"/>
  <c r="I41" i="1"/>
  <c r="J31" i="1"/>
  <c r="I10" i="107"/>
  <c r="J47" i="1"/>
  <c r="I10" i="80"/>
  <c r="J26" i="1"/>
  <c r="I10" i="89"/>
  <c r="J51" i="1"/>
  <c r="I10" i="105"/>
  <c r="I10" i="102"/>
  <c r="J29" i="1"/>
  <c r="J38" i="1"/>
  <c r="I10" i="103"/>
  <c r="H10" i="53"/>
  <c r="I14" i="1"/>
  <c r="H10" i="2"/>
  <c r="I9" i="1"/>
  <c r="I10" i="62"/>
  <c r="J18" i="1"/>
  <c r="H10" i="74"/>
  <c r="I24" i="1"/>
  <c r="H10" i="61"/>
  <c r="I17" i="1"/>
  <c r="I20" i="1"/>
  <c r="H10" i="64"/>
  <c r="H10" i="71"/>
  <c r="I35" i="1"/>
  <c r="J42" i="1"/>
  <c r="I10" i="58"/>
  <c r="H10" i="67"/>
  <c r="I43" i="1"/>
  <c r="H10" i="48"/>
  <c r="I11" i="1"/>
  <c r="H10" i="76"/>
  <c r="I46" i="1"/>
  <c r="H10" i="65"/>
  <c r="I21" i="1"/>
  <c r="I10" i="104"/>
  <c r="J30" i="1"/>
  <c r="H10" i="54"/>
  <c r="I15" i="1"/>
  <c r="J25" i="1"/>
  <c r="I10" i="87"/>
  <c r="J49" i="1"/>
  <c r="I10" i="93"/>
  <c r="H10" i="51"/>
  <c r="I12" i="1"/>
  <c r="H10" i="68"/>
  <c r="I44" i="1"/>
  <c r="H10" i="63"/>
  <c r="I19" i="1"/>
  <c r="I39" i="1"/>
  <c r="H10" i="52"/>
  <c r="I13" i="1"/>
  <c r="I10" i="108"/>
  <c r="J52" i="1"/>
  <c r="H10" i="69"/>
  <c r="I22" i="1"/>
  <c r="H10" i="59"/>
  <c r="I16" i="1"/>
  <c r="J10" i="124"/>
  <c r="K36" i="1"/>
  <c r="J28" i="1"/>
  <c r="I10" i="100"/>
  <c r="H10" i="60"/>
  <c r="I34" i="1"/>
  <c r="H10" i="56"/>
  <c r="I40" i="1"/>
  <c r="H10" i="46"/>
  <c r="I10" i="1"/>
  <c r="J48" i="1"/>
  <c r="I10" i="91"/>
  <c r="J53" i="1"/>
  <c r="I10" i="111"/>
  <c r="I10" i="101"/>
  <c r="M10" i="84"/>
  <c r="J10" i="110"/>
  <c r="I10" i="112"/>
  <c r="I10" i="92"/>
  <c r="H10" i="73"/>
  <c r="I10" i="114"/>
  <c r="H10" i="70"/>
  <c r="I8" i="1"/>
  <c r="I7" i="1"/>
  <c r="J6" i="1"/>
  <c r="I5" i="1"/>
  <c r="I4" i="1"/>
  <c r="M45" i="1" l="1"/>
  <c r="N45" i="1"/>
  <c r="J22" i="1"/>
  <c r="I10" i="69"/>
  <c r="J10" i="72"/>
  <c r="K23" i="1"/>
  <c r="K49" i="1"/>
  <c r="J10" i="93"/>
  <c r="L36" i="1"/>
  <c r="K10" i="124"/>
  <c r="K25" i="1"/>
  <c r="J10" i="87"/>
  <c r="I10" i="76"/>
  <c r="J46" i="1"/>
  <c r="K51" i="1"/>
  <c r="J10" i="105"/>
  <c r="I10" i="67"/>
  <c r="J43" i="1"/>
  <c r="I10" i="51"/>
  <c r="J12" i="1"/>
  <c r="I10" i="74"/>
  <c r="J24" i="1"/>
  <c r="I10" i="52"/>
  <c r="J13" i="1"/>
  <c r="K26" i="1"/>
  <c r="J10" i="89"/>
  <c r="I10" i="2"/>
  <c r="J9" i="1"/>
  <c r="I10" i="63"/>
  <c r="J19" i="1"/>
  <c r="J10" i="104"/>
  <c r="K30" i="1"/>
  <c r="I10" i="71"/>
  <c r="J35" i="1"/>
  <c r="I10" i="53"/>
  <c r="J14" i="1"/>
  <c r="K31" i="1"/>
  <c r="J10" i="107"/>
  <c r="I10" i="56"/>
  <c r="J40" i="1"/>
  <c r="K28" i="1"/>
  <c r="J10" i="100"/>
  <c r="K10" i="100" s="1"/>
  <c r="K47" i="1"/>
  <c r="J10" i="80"/>
  <c r="K48" i="1"/>
  <c r="J10" i="91"/>
  <c r="I10" i="64"/>
  <c r="J20" i="1"/>
  <c r="I10" i="46"/>
  <c r="J10" i="1"/>
  <c r="I10" i="48"/>
  <c r="J11" i="1"/>
  <c r="I10" i="60"/>
  <c r="J34" i="1"/>
  <c r="J39" i="1"/>
  <c r="I10" i="59"/>
  <c r="J16" i="1"/>
  <c r="I10" i="65"/>
  <c r="J21" i="1"/>
  <c r="K38" i="1"/>
  <c r="J10" i="103"/>
  <c r="I10" i="61"/>
  <c r="J17" i="1"/>
  <c r="J10" i="102"/>
  <c r="K29" i="1"/>
  <c r="J10" i="108"/>
  <c r="K52" i="1"/>
  <c r="J10" i="62"/>
  <c r="K18" i="1"/>
  <c r="J10" i="58"/>
  <c r="K10" i="58" s="1"/>
  <c r="K42" i="1"/>
  <c r="I10" i="54"/>
  <c r="J15" i="1"/>
  <c r="K53" i="1"/>
  <c r="J10" i="111"/>
  <c r="K10" i="111" s="1"/>
  <c r="L10" i="111" s="1"/>
  <c r="N53" i="1" s="1"/>
  <c r="I10" i="68"/>
  <c r="J44" i="1"/>
  <c r="I10" i="57"/>
  <c r="J41" i="1"/>
  <c r="J10" i="101"/>
  <c r="I10" i="73"/>
  <c r="J10" i="114"/>
  <c r="J10" i="92"/>
  <c r="J10" i="112"/>
  <c r="K10" i="110"/>
  <c r="I10" i="70"/>
  <c r="J8" i="1"/>
  <c r="J7" i="1"/>
  <c r="K6" i="1"/>
  <c r="J5" i="1"/>
  <c r="J4" i="1"/>
  <c r="K10" i="108" l="1"/>
  <c r="L31" i="1"/>
  <c r="K10" i="107"/>
  <c r="L25" i="1"/>
  <c r="K10" i="87"/>
  <c r="M36" i="1"/>
  <c r="L10" i="124"/>
  <c r="L47" i="1"/>
  <c r="K10" i="80"/>
  <c r="M47" i="1" s="1"/>
  <c r="L30" i="1"/>
  <c r="K10" i="104"/>
  <c r="L28" i="1"/>
  <c r="L18" i="1"/>
  <c r="K10" i="62"/>
  <c r="K10" i="72"/>
  <c r="M23" i="1" s="1"/>
  <c r="L23" i="1"/>
  <c r="L26" i="1"/>
  <c r="K10" i="89"/>
  <c r="J10" i="69"/>
  <c r="K22" i="1"/>
  <c r="L38" i="1"/>
  <c r="K10" i="103"/>
  <c r="L10" i="103" s="1"/>
  <c r="M10" i="103" s="1"/>
  <c r="O38" i="1" s="1"/>
  <c r="L48" i="1"/>
  <c r="K10" i="91"/>
  <c r="M48" i="1" s="1"/>
  <c r="L52" i="1"/>
  <c r="K10" i="93"/>
  <c r="M49" i="1" s="1"/>
  <c r="L49" i="1"/>
  <c r="L51" i="1"/>
  <c r="K10" i="105"/>
  <c r="K35" i="1"/>
  <c r="J10" i="71"/>
  <c r="J10" i="57"/>
  <c r="K41" i="1"/>
  <c r="J10" i="51"/>
  <c r="K12" i="1"/>
  <c r="K39" i="1"/>
  <c r="M39" i="1"/>
  <c r="J10" i="63"/>
  <c r="K19" i="1"/>
  <c r="J10" i="48"/>
  <c r="K11" i="1"/>
  <c r="J10" i="67"/>
  <c r="K43" i="1"/>
  <c r="J10" i="2"/>
  <c r="K9" i="1"/>
  <c r="J10" i="54"/>
  <c r="K15" i="1"/>
  <c r="J10" i="46"/>
  <c r="K10" i="1"/>
  <c r="J10" i="76"/>
  <c r="K46" i="1"/>
  <c r="J10" i="74"/>
  <c r="K24" i="1"/>
  <c r="J10" i="60"/>
  <c r="K10" i="60" s="1"/>
  <c r="L10" i="60" s="1"/>
  <c r="N34" i="1" s="1"/>
  <c r="K34" i="1"/>
  <c r="L53" i="1"/>
  <c r="M53" i="1"/>
  <c r="J10" i="56"/>
  <c r="K40" i="1"/>
  <c r="J10" i="59"/>
  <c r="K16" i="1"/>
  <c r="J10" i="68"/>
  <c r="K44" i="1"/>
  <c r="K10" i="102"/>
  <c r="L29" i="1"/>
  <c r="J10" i="61"/>
  <c r="K17" i="1"/>
  <c r="M42" i="1"/>
  <c r="L42" i="1"/>
  <c r="J10" i="65"/>
  <c r="K21" i="1"/>
  <c r="J10" i="64"/>
  <c r="K20" i="1"/>
  <c r="J10" i="53"/>
  <c r="K14" i="1"/>
  <c r="J10" i="52"/>
  <c r="K13" i="1"/>
  <c r="K10" i="92"/>
  <c r="K10" i="114"/>
  <c r="L10" i="110"/>
  <c r="K10" i="112"/>
  <c r="J10" i="73"/>
  <c r="J10" i="70"/>
  <c r="K8" i="1"/>
  <c r="K7" i="1"/>
  <c r="L6" i="1"/>
  <c r="K5" i="1"/>
  <c r="K4" i="1"/>
  <c r="M26" i="1" l="1"/>
  <c r="L10" i="89"/>
  <c r="M51" i="1"/>
  <c r="L10" i="105"/>
  <c r="N36" i="1"/>
  <c r="M10" i="124"/>
  <c r="O36" i="1" s="1"/>
  <c r="M25" i="1"/>
  <c r="L10" i="87"/>
  <c r="N25" i="1" s="1"/>
  <c r="M18" i="1"/>
  <c r="L10" i="62"/>
  <c r="M38" i="1"/>
  <c r="N38" i="1"/>
  <c r="M31" i="1"/>
  <c r="L10" i="107"/>
  <c r="N31" i="1" s="1"/>
  <c r="M28" i="1"/>
  <c r="L10" i="100"/>
  <c r="K13" i="108"/>
  <c r="L10" i="108"/>
  <c r="M30" i="1"/>
  <c r="L10" i="104"/>
  <c r="K10" i="57"/>
  <c r="M29" i="1"/>
  <c r="L10" i="102"/>
  <c r="L9" i="1"/>
  <c r="K10" i="2"/>
  <c r="M52" i="1"/>
  <c r="L10" i="1"/>
  <c r="K10" i="46"/>
  <c r="L10" i="46" s="1"/>
  <c r="L20" i="1"/>
  <c r="K10" i="64"/>
  <c r="K10" i="69"/>
  <c r="M22" i="1" s="1"/>
  <c r="L22" i="1"/>
  <c r="L40" i="1"/>
  <c r="K10" i="56"/>
  <c r="M40" i="1" s="1"/>
  <c r="L24" i="1"/>
  <c r="K10" i="74"/>
  <c r="M24" i="1" s="1"/>
  <c r="L17" i="1"/>
  <c r="K10" i="61"/>
  <c r="L44" i="1"/>
  <c r="K10" i="68"/>
  <c r="M44" i="1" s="1"/>
  <c r="L46" i="1"/>
  <c r="K10" i="76"/>
  <c r="M46" i="1" s="1"/>
  <c r="L19" i="1"/>
  <c r="K10" i="63"/>
  <c r="M19" i="1" s="1"/>
  <c r="L16" i="1"/>
  <c r="K10" i="59"/>
  <c r="L11" i="1"/>
  <c r="K10" i="48"/>
  <c r="L39" i="1"/>
  <c r="K10" i="71"/>
  <c r="L35" i="1"/>
  <c r="K10" i="65"/>
  <c r="L21" i="1"/>
  <c r="K10" i="54"/>
  <c r="L15" i="1"/>
  <c r="M34" i="1"/>
  <c r="L34" i="1"/>
  <c r="K10" i="52"/>
  <c r="L13" i="1"/>
  <c r="K10" i="53"/>
  <c r="L14" i="1"/>
  <c r="K10" i="67"/>
  <c r="M43" i="1" s="1"/>
  <c r="L43" i="1"/>
  <c r="K10" i="51"/>
  <c r="L12" i="1"/>
  <c r="L41" i="1"/>
  <c r="L10" i="112"/>
  <c r="K10" i="73"/>
  <c r="L10" i="92"/>
  <c r="M10" i="110"/>
  <c r="L10" i="114"/>
  <c r="K10" i="70"/>
  <c r="L8" i="1"/>
  <c r="L7" i="1"/>
  <c r="M6" i="1"/>
  <c r="L5" i="1"/>
  <c r="L4" i="1"/>
  <c r="N28" i="1" l="1"/>
  <c r="M10" i="100"/>
  <c r="O28" i="1" s="1"/>
  <c r="M10" i="105"/>
  <c r="O51" i="1" s="1"/>
  <c r="N51" i="1"/>
  <c r="M10" i="89"/>
  <c r="O26" i="1" s="1"/>
  <c r="N26" i="1"/>
  <c r="N29" i="1"/>
  <c r="M10" i="102"/>
  <c r="O29" i="1" s="1"/>
  <c r="N18" i="1"/>
  <c r="M10" i="62"/>
  <c r="O18" i="1" s="1"/>
  <c r="M11" i="1"/>
  <c r="L10" i="48"/>
  <c r="N52" i="1"/>
  <c r="M10" i="108"/>
  <c r="O52" i="1" s="1"/>
  <c r="N30" i="1"/>
  <c r="M10" i="104"/>
  <c r="O30" i="1" s="1"/>
  <c r="M16" i="1"/>
  <c r="L10" i="59"/>
  <c r="M41" i="1"/>
  <c r="M17" i="1"/>
  <c r="L10" i="61"/>
  <c r="L10" i="57"/>
  <c r="M20" i="1"/>
  <c r="L10" i="64"/>
  <c r="M10" i="1"/>
  <c r="N10" i="1"/>
  <c r="M21" i="1"/>
  <c r="L10" i="65"/>
  <c r="M15" i="1"/>
  <c r="L10" i="54"/>
  <c r="M12" i="1"/>
  <c r="L10" i="51"/>
  <c r="M14" i="1"/>
  <c r="L10" i="53"/>
  <c r="M13" i="1"/>
  <c r="L10" i="52"/>
  <c r="M9" i="1"/>
  <c r="L10" i="2"/>
  <c r="M35" i="1"/>
  <c r="L10" i="71"/>
  <c r="N35" i="1" s="1"/>
  <c r="L10" i="73"/>
  <c r="M10" i="114"/>
  <c r="M10" i="92"/>
  <c r="M10" i="112"/>
  <c r="L10" i="70"/>
  <c r="M8" i="1"/>
  <c r="M7" i="1"/>
  <c r="O6" i="1"/>
  <c r="N6" i="1"/>
  <c r="M5" i="1"/>
  <c r="M4" i="1"/>
  <c r="N16" i="1" l="1"/>
  <c r="M10" i="59"/>
  <c r="O16" i="1" s="1"/>
  <c r="N17" i="1"/>
  <c r="M10" i="61"/>
  <c r="O17" i="1" s="1"/>
  <c r="M10" i="48"/>
  <c r="O11" i="1" s="1"/>
  <c r="N11" i="1"/>
  <c r="N9" i="1"/>
  <c r="M10" i="2"/>
  <c r="O9" i="1" s="1"/>
  <c r="N12" i="1"/>
  <c r="M10" i="51"/>
  <c r="O12" i="1" s="1"/>
  <c r="N15" i="1"/>
  <c r="M10" i="54"/>
  <c r="O15" i="1" s="1"/>
  <c r="N20" i="1"/>
  <c r="M10" i="64"/>
  <c r="O20" i="1" s="1"/>
  <c r="N13" i="1"/>
  <c r="M10" i="52"/>
  <c r="O13" i="1" s="1"/>
  <c r="N21" i="1"/>
  <c r="M10" i="65"/>
  <c r="O21" i="1" s="1"/>
  <c r="N14" i="1"/>
  <c r="M10" i="53"/>
  <c r="O14" i="1" s="1"/>
  <c r="M10" i="57"/>
  <c r="M15" i="57" s="1"/>
  <c r="N41" i="1"/>
  <c r="M10" i="73"/>
  <c r="M10" i="70"/>
  <c r="O8" i="1"/>
  <c r="N8" i="1"/>
  <c r="O7" i="1"/>
  <c r="N7" i="1"/>
  <c r="O5" i="1"/>
  <c r="N5" i="1"/>
  <c r="O4" i="1"/>
  <c r="N4" i="1"/>
  <c r="O41" i="1" l="1"/>
  <c r="N5" i="124"/>
  <c r="N10" i="124" s="1"/>
  <c r="P36" i="1" s="1"/>
  <c r="B10" i="43" l="1"/>
  <c r="C3" i="1" l="1"/>
  <c r="C61" i="1" s="1"/>
  <c r="C10" i="43"/>
  <c r="D3" i="1"/>
  <c r="N10" i="43"/>
  <c r="P3" i="1" l="1"/>
  <c r="E3" i="1"/>
  <c r="D10" i="43"/>
  <c r="E10" i="43" l="1"/>
  <c r="F3" i="1"/>
  <c r="F10" i="43" l="1"/>
  <c r="G10" i="43" s="1"/>
  <c r="G3" i="1"/>
  <c r="H3" i="1" l="1"/>
  <c r="I3" i="1" l="1"/>
  <c r="H10" i="43"/>
  <c r="J3" i="1" l="1"/>
  <c r="I10" i="43"/>
  <c r="K3" i="1" l="1"/>
  <c r="J10" i="43"/>
  <c r="B10" i="116"/>
  <c r="N10" i="116"/>
  <c r="P54" i="1" s="1"/>
  <c r="K10" i="43" l="1"/>
  <c r="L3" i="1"/>
  <c r="C10" i="116"/>
  <c r="E54" i="1" s="1"/>
  <c r="D54" i="1"/>
  <c r="L10" i="43" l="1"/>
  <c r="M3" i="1"/>
  <c r="D10" i="116"/>
  <c r="F54" i="1" s="1"/>
  <c r="N3" i="1" l="1"/>
  <c r="M10" i="43"/>
  <c r="O3" i="1" s="1"/>
  <c r="E10" i="116"/>
  <c r="G54" i="1" s="1"/>
  <c r="F10" i="116" l="1"/>
  <c r="H54" i="1" s="1"/>
  <c r="G10" i="116" l="1"/>
  <c r="I54" i="1" s="1"/>
  <c r="H10" i="116" l="1"/>
  <c r="J54" i="1" s="1"/>
  <c r="I10" i="116" l="1"/>
  <c r="K54" i="1" s="1"/>
  <c r="B10" i="96"/>
  <c r="N10" i="96"/>
  <c r="P50" i="1" s="1"/>
  <c r="J10" i="116" l="1"/>
  <c r="L54" i="1" s="1"/>
  <c r="C10" i="96"/>
  <c r="E50" i="1" s="1"/>
  <c r="D50" i="1"/>
  <c r="K10" i="116" l="1"/>
  <c r="L10" i="116" s="1"/>
  <c r="N54" i="1" s="1"/>
  <c r="C14" i="96"/>
  <c r="D10" i="96"/>
  <c r="F50" i="1" s="1"/>
  <c r="M54" i="1" l="1"/>
  <c r="E10" i="96"/>
  <c r="G50" i="1" s="1"/>
  <c r="F10" i="96" l="1"/>
  <c r="H50" i="1" s="1"/>
  <c r="G10" i="96" l="1"/>
  <c r="I50" i="1" s="1"/>
  <c r="H10" i="96" l="1"/>
  <c r="J50" i="1" s="1"/>
  <c r="N10" i="99"/>
  <c r="P27" i="1" s="1"/>
  <c r="P61" i="1" s="1"/>
  <c r="B10" i="99"/>
  <c r="D27" i="1" s="1"/>
  <c r="D61" i="1" s="1"/>
  <c r="I10" i="96" l="1"/>
  <c r="C10" i="99"/>
  <c r="E27" i="1" s="1"/>
  <c r="E61" i="1" s="1"/>
  <c r="K50" i="1" l="1"/>
  <c r="J10" i="96"/>
  <c r="L50" i="1" s="1"/>
  <c r="D10" i="99"/>
  <c r="F27" i="1" s="1"/>
  <c r="F61" i="1" s="1"/>
  <c r="K10" i="96" l="1"/>
  <c r="E10" i="99"/>
  <c r="G27" i="1" s="1"/>
  <c r="G61" i="1" s="1"/>
  <c r="M50" i="1" l="1"/>
  <c r="L10" i="96"/>
  <c r="F10" i="99"/>
  <c r="H27" i="1" s="1"/>
  <c r="H61" i="1" s="1"/>
  <c r="M10" i="96" l="1"/>
  <c r="O50" i="1" s="1"/>
  <c r="N50" i="1"/>
  <c r="G10" i="99"/>
  <c r="I27" i="1" s="1"/>
  <c r="I61" i="1" s="1"/>
  <c r="H10" i="99" l="1"/>
  <c r="J27" i="1" s="1"/>
  <c r="J61" i="1" s="1"/>
  <c r="I10" i="99" l="1"/>
  <c r="K27" i="1" s="1"/>
  <c r="K61" i="1" s="1"/>
  <c r="J10" i="99" l="1"/>
  <c r="L27" i="1" l="1"/>
  <c r="L61" i="1" s="1"/>
  <c r="K10" i="99"/>
  <c r="M27" i="1" l="1"/>
  <c r="M61" i="1" s="1"/>
  <c r="L10" i="99"/>
  <c r="N27" i="1" l="1"/>
  <c r="N61" i="1" s="1"/>
  <c r="M10" i="99"/>
  <c r="O27" i="1" s="1"/>
  <c r="O61" i="1" s="1"/>
</calcChain>
</file>

<file path=xl/comments1.xml><?xml version="1.0" encoding="utf-8"?>
<comments xmlns="http://schemas.openxmlformats.org/spreadsheetml/2006/main">
  <authors>
    <author>Author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clear công nợ năm 22
Năm 2023 đã thanh toán đến tháng 6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hết công nợ, số âm do phát sinh hàng trả 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T10.2023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13.11.2023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đến 18.11.2023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Sanhdieu Hà nội:thanh toán hết tháng 9
Sanhdieu Saigon: thanh toán hết tháng 8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6/2023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2022 còn nợ 32tr (đã bsung c.từ để thanh toán); 2023: thanh toán đến tháng 9,2023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
,2023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5,5tr
đã TT hết T10.2023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5,5tr
đã TT hết T10.2023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35,5tr
đã TT hết T09.2023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12.10.2023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2022: 19tr
2023: thanh toán hết tháng 8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7,2023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6/2023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CN 2022 chưa thanh toán hết, đã dừng cung ứng
Chưa có nguồn tiền để thanh toán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T11.2023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nợ từ T2-T6/2023 còn 22 hđ, Seven đang check: 73,923,070 đ
Đã thanh toán đến hết T07/2023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gối đầu 17,9tr
đã TT hết T11.2023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nợ gối đầu: 10,216,293
Đã thanh toán đến hết T07/2023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lý hợp đồng 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liên lạc được với Sthi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Ngừng cung ứng, cty gặp khó khăn, thanh toán được ít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11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10,2023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
không nợ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15/10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nợ 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2022
2023 thanh toán hết tháng 2 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 2022 còn 6 đơn khai trương: 7,864,904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7, đang chờ có HĐ để Chuyển khoản, đã chốt được công nợ 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11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sau thanh toán tháng trước, thanh toán hết công nợ tháng 9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lý HĐ, ngưng giao hàng từ đầu T7, công nợ 2023 chưa thanh toán 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hết T11.2023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8/2023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 xml:space="preserve">Admin:T9 chưa clear công nợ 
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Ngưng cung ứng từ đầu tháng 7, thanh toán hết công nợ 2022
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9/2023
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T11.2023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đến hết T06/2023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TT hết T11.2023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Đã thanh toán đến hết T07/2023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9,2023
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
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9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11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10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thanh toán hết tháng 12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cũ: 774,645,622 đ
cộng: 265,774,948 đ lệch do công nợ 2021 để lại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cũ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10,137,523: hàng trả T10,11,12.2021
11,823,466: hàng trả T10.2023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XT T11.2023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Tmart TT thừa 108,842,045 (107,113,673 (3 hđ 13181,13182,22235)+1,728,372 (XT T11.2022 TT T03.2023, lúc trước tính thiếu thuế hàng XT))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CKTT T10: 3,119,862đ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CKTT T11.2023 3%,
CKTT T12.2021 1%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109,195,183: CN T10
102,186,724: CN T10.21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131,222,989: CN T11.21
146,592,010: CN T11.23
114,290,033: CN T12.21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Trong đó có 15tr là đơn gối đầu của những năm trước. Sau khi tất toán hợp đồng sẽ thanh toán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Hàng trả T2 ko có chứng từ, chốt công nợ trừ số dư đầu kỳ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Tiền chênh lệch thuế không tính lên công nợ
</t>
        </r>
      </text>
    </comment>
  </commentList>
</comments>
</file>

<file path=xl/sharedStrings.xml><?xml version="1.0" encoding="utf-8"?>
<sst xmlns="http://schemas.openxmlformats.org/spreadsheetml/2006/main" count="2150" uniqueCount="212">
  <si>
    <t>STT</t>
  </si>
  <si>
    <t>TÊN KHÁCH HÀNG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</si>
  <si>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</si>
  <si>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</si>
  <si>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</si>
  <si>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</si>
  <si>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</si>
  <si>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</si>
  <si>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</si>
  <si>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</si>
  <si>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</si>
  <si>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</si>
  <si>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</si>
  <si>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</si>
  <si>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</si>
  <si>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Người phụ trách</t>
  </si>
  <si>
    <t>ĐÔNG HƯNG (AEON)</t>
  </si>
  <si>
    <t>WINCOMMERCE</t>
  </si>
  <si>
    <t>BRG</t>
  </si>
  <si>
    <t>COOP</t>
  </si>
  <si>
    <t>EB - BIGC</t>
  </si>
  <si>
    <t>GS25</t>
  </si>
  <si>
    <t>LOTTE</t>
  </si>
  <si>
    <t>MEGA</t>
  </si>
  <si>
    <t>SATRA - SIÊU THỊ SÀI GÒN</t>
  </si>
  <si>
    <t>SATRA ĐƯỜNG PHẠM HÙNG</t>
  </si>
  <si>
    <t>SATRA CỦ CHI</t>
  </si>
  <si>
    <t>ĐẠI THANH HẢI</t>
  </si>
  <si>
    <t>T - MARTSTORES</t>
  </si>
  <si>
    <t>SIBA FOOD</t>
  </si>
  <si>
    <t>NHẬT MINH</t>
  </si>
  <si>
    <t>VIỆT Ý HÀ NỘI</t>
  </si>
  <si>
    <t>VIỆT Ý NHA TRANG</t>
  </si>
  <si>
    <t>LARIA</t>
  </si>
  <si>
    <t>NOVA</t>
  </si>
  <si>
    <t>SEVEN</t>
  </si>
  <si>
    <t>SÀI GÒN HD</t>
  </si>
  <si>
    <t>SÀNH ĐIỆU</t>
  </si>
  <si>
    <t>CLEVERFOOD</t>
  </si>
  <si>
    <t>UNO</t>
  </si>
  <si>
    <t>USMART</t>
  </si>
  <si>
    <t>RETAIL</t>
  </si>
  <si>
    <t>SHINSEN GROUP</t>
  </si>
  <si>
    <t>V+HÒA BÌNH</t>
  </si>
  <si>
    <t>NHẬT THƯƠNG</t>
  </si>
  <si>
    <t>CƯỜNG GIA PHÁT</t>
  </si>
  <si>
    <t>EASYMART</t>
  </si>
  <si>
    <t>BÍCH CẦU</t>
  </si>
  <si>
    <t>EPCOSTORE</t>
  </si>
  <si>
    <t>FANSIPAN</t>
  </si>
  <si>
    <t>FINEMART</t>
  </si>
  <si>
    <t>FOODMART</t>
  </si>
  <si>
    <t>GIA ĐÌNH VIỆT NAM</t>
  </si>
  <si>
    <t>GRELI</t>
  </si>
  <si>
    <t>GTGL</t>
  </si>
  <si>
    <t>HÀ ĐĂNG</t>
  </si>
  <si>
    <t>HAPPYMART</t>
  </si>
  <si>
    <t>HIỀN LƯƠNG</t>
  </si>
  <si>
    <t>HTL - TOMO</t>
  </si>
  <si>
    <t>HƯNG THỊNH</t>
  </si>
  <si>
    <t>INTIMEX ĐÀ NẴNG</t>
  </si>
  <si>
    <t>KA</t>
  </si>
  <si>
    <t>KING FOOD</t>
  </si>
  <si>
    <t>K&amp;K</t>
  </si>
  <si>
    <t>EAST WEST BREWING</t>
  </si>
  <si>
    <t>KHẢI SAN - HNT</t>
  </si>
  <si>
    <t>LOCALMART</t>
  </si>
  <si>
    <t>MỸ ĐỨC BÌNH ĐIỀN</t>
  </si>
  <si>
    <t>MEKONG GOURMET</t>
  </si>
  <si>
    <t>MINH CẦU</t>
  </si>
  <si>
    <t>NGUYỄN CỬU</t>
  </si>
  <si>
    <t>PTMART</t>
  </si>
  <si>
    <t>SMARTGAP</t>
  </si>
  <si>
    <t>SONG NGỌC</t>
  </si>
  <si>
    <t>SONG NGUYỄN</t>
  </si>
  <si>
    <t>ANH ĐĂNG TMART</t>
  </si>
  <si>
    <t>TTMFARM</t>
  </si>
  <si>
    <t>THFOOD</t>
  </si>
  <si>
    <t>XUÂN ĐIỀN SÀI GÒN</t>
  </si>
  <si>
    <t>TỔNG HỢP CÔNG NỢ 2023</t>
  </si>
  <si>
    <t>TT ĐIỀU HÀNH SATRAFOOD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</si>
  <si>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</si>
  <si>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</si>
  <si>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</si>
  <si>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</si>
  <si>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</si>
  <si>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</si>
  <si>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</si>
  <si>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</si>
  <si>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</si>
  <si>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</si>
  <si>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</si>
  <si>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</si>
  <si>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</si>
  <si>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CÔNG NỢ</t>
  </si>
  <si>
    <t>TRẢ HÀNG</t>
  </si>
  <si>
    <t>CHIẾT KHẤU</t>
  </si>
  <si>
    <t>VẬN CHUYỂN</t>
  </si>
  <si>
    <t>THANH TOÁN</t>
  </si>
  <si>
    <t>CÒN NỢ</t>
  </si>
  <si>
    <t>Số dư đầu kỳ (2022)</t>
  </si>
  <si>
    <t>AEON CITIMART - ĐÔNG HƯNG</t>
  </si>
  <si>
    <t xml:space="preserve">            </t>
  </si>
  <si>
    <t>SMART - SUNSHINE</t>
  </si>
  <si>
    <t>UNIT - ECOMART</t>
  </si>
  <si>
    <t>DOANH SỐ</t>
  </si>
  <si>
    <t>CKDS KĐK</t>
  </si>
  <si>
    <t>CK MKT</t>
  </si>
  <si>
    <t>Hồng</t>
  </si>
  <si>
    <t>Quay lại trang tổng hợp</t>
  </si>
  <si>
    <t>HTL-TOMO</t>
  </si>
  <si>
    <t xml:space="preserve"> </t>
  </si>
  <si>
    <t>CIRCLE K</t>
  </si>
  <si>
    <t>EB - BIG C</t>
  </si>
  <si>
    <t>Vũ</t>
  </si>
  <si>
    <t>TRUNG TÂM ĐIỀU HÀNH SATRAFOODS</t>
  </si>
  <si>
    <t>V+ HÒA BÌNH</t>
  </si>
  <si>
    <t>UNIT-ECOMART</t>
  </si>
  <si>
    <t>NHẬT MINH - OSIFOOD</t>
  </si>
  <si>
    <t>FM - LARIA</t>
  </si>
  <si>
    <t>NOVA COMMERCE</t>
  </si>
  <si>
    <t>SEVEN ELEVEN</t>
  </si>
  <si>
    <t>SÀNH ĐIỆU - ANNAM GOUMET</t>
  </si>
  <si>
    <t>UBO FOOD</t>
  </si>
  <si>
    <t>GROVE NEW RETAIL</t>
  </si>
  <si>
    <t>SÀI GÒN MART</t>
  </si>
  <si>
    <t>SHINSHEN</t>
  </si>
  <si>
    <t>SUNSHINE</t>
  </si>
  <si>
    <t>BON BON</t>
  </si>
  <si>
    <t>THỰC PHẨM SẠCH ECOMART</t>
  </si>
  <si>
    <t>EVERYDAY</t>
  </si>
  <si>
    <t>(THANH TOÁN DƯ)</t>
  </si>
  <si>
    <t>Lam</t>
  </si>
  <si>
    <t>JMART QUỐC TẾ</t>
  </si>
  <si>
    <t>KINGFOOD</t>
  </si>
  <si>
    <t>OCOFOOD</t>
  </si>
  <si>
    <t>OKONO</t>
  </si>
  <si>
    <t>SIÊU THỊ OKONO</t>
  </si>
  <si>
    <t>VITALGO</t>
  </si>
  <si>
    <t>SIÊU THỊ VITAL GO</t>
  </si>
  <si>
    <t>Phí chuyển khoản</t>
  </si>
  <si>
    <t>CK T10,11,12/2022</t>
  </si>
  <si>
    <t>CK T 1,2,3,4/2023</t>
  </si>
  <si>
    <t>CK T5  44tr phi SPM</t>
  </si>
  <si>
    <t xml:space="preserve">Thanh toán hết nợ 2022 </t>
  </si>
  <si>
    <t>(Ck t4+5)</t>
  </si>
  <si>
    <t>(Ckt1,2,3)</t>
  </si>
  <si>
    <t xml:space="preserve">HỖ TRỢ </t>
  </si>
  <si>
    <t>( Hỗ trợ + CK Quý I)</t>
  </si>
  <si>
    <t>Thanh toán dư 18.000</t>
  </si>
  <si>
    <t>Tháng sau thanh toán đơn tháng trước</t>
  </si>
  <si>
    <t>CK 2022</t>
  </si>
  <si>
    <t>Ck Quý 1,2023</t>
  </si>
  <si>
    <t xml:space="preserve">Thanh toán hết tháng 2 </t>
  </si>
  <si>
    <t xml:space="preserve">Công ty gặp khó khăn, không liên lạc được, nhờ a Thạch đưa ĐNTT qua Công ty </t>
  </si>
  <si>
    <t>Công ty khó khăn, mỗi tháng có ít nguồn tiền thanh toán dần</t>
  </si>
  <si>
    <t>Cty khó khăn, anh Bách hỗ trợ và hẹn trong tháng 7 thanh toán hết</t>
  </si>
  <si>
    <t>Thanh toán hết tháng 5</t>
  </si>
  <si>
    <t>Ck 2022</t>
  </si>
  <si>
    <t>Ck Quý I 2023</t>
  </si>
  <si>
    <t>Nợ tháng 6</t>
  </si>
  <si>
    <t>(CK T6+7)</t>
  </si>
  <si>
    <t>(CK 2+3+4)</t>
  </si>
  <si>
    <t>Chiết khấu thanh toán</t>
  </si>
  <si>
    <t>Thanh toán hết đến 28/06/2023</t>
  </si>
  <si>
    <t xml:space="preserve">Lam </t>
  </si>
  <si>
    <t>Ck T7+truy thu 0,25% thưởng ds +0,25% hỗ trợ đặt hàng tăng do ký lại ĐKTM2023</t>
  </si>
  <si>
    <t xml:space="preserve">Thu bổ sung thuế CK 1-9.2022 </t>
  </si>
  <si>
    <t>Thưởng DS 2022</t>
  </si>
  <si>
    <t>HỖ TRỢ</t>
  </si>
  <si>
    <t>Hỗ trợ QC T1-6,2023</t>
  </si>
  <si>
    <t>Hỗ trợ 2021-2022 + phí tạo 26 mã mới</t>
  </si>
  <si>
    <t>TELIO</t>
  </si>
  <si>
    <t>SIÊU THỊ TELIO</t>
  </si>
  <si>
    <t>SIÊU THỊ GOOGOO</t>
  </si>
  <si>
    <t>KMARKET</t>
  </si>
  <si>
    <t>SIÊU THỊ KMARKET</t>
  </si>
  <si>
    <t>CKT6 +thưởng ds có đk+ truy thu thuế Ck ko điều kiện năm 2022</t>
  </si>
  <si>
    <t>SIÊU THỊ SÀI GÒN</t>
  </si>
  <si>
    <t>Ck Quý II 2023</t>
  </si>
  <si>
    <t>CK T8/2023</t>
  </si>
  <si>
    <t>(đầu tháng 10 thanh toán công nợ tháng 8)</t>
  </si>
  <si>
    <t>SIÊU THỊ TOMITA</t>
  </si>
  <si>
    <t>TOMITA</t>
  </si>
  <si>
    <t>TERRA</t>
  </si>
  <si>
    <t>Khu vực</t>
  </si>
  <si>
    <t xml:space="preserve">Miền Nam </t>
  </si>
  <si>
    <t>Toàn quốc</t>
  </si>
  <si>
    <t>Miền Bắc</t>
  </si>
  <si>
    <t xml:space="preserve">Miền Bắc </t>
  </si>
  <si>
    <t>SIÊU THỊ TERRA</t>
  </si>
  <si>
    <t>v</t>
  </si>
  <si>
    <t>Thanh toán công nợ tháng 1+2.2023</t>
  </si>
  <si>
    <t>CK T9/2023</t>
  </si>
  <si>
    <t>Ck Quý 2,2023</t>
  </si>
  <si>
    <t>DALATFARM</t>
  </si>
  <si>
    <t>SIÊU THỊ DALATFARM</t>
  </si>
  <si>
    <t>STTHANHCONG</t>
  </si>
  <si>
    <t>SIÊU THỊ STTHANHCONG</t>
  </si>
  <si>
    <t>Ck Quý III 2023</t>
  </si>
  <si>
    <t>Hỗ trợ QC T7-9,2023</t>
  </si>
  <si>
    <t>Thanh toán công nợ tháng 3-6.2023</t>
  </si>
  <si>
    <t>998236 năm 2022 trừ dư</t>
  </si>
  <si>
    <t>REALFMART</t>
  </si>
  <si>
    <t>CK T10/2023</t>
  </si>
  <si>
    <t>CK T11/2023</t>
  </si>
  <si>
    <t>Tổng dư nợ hóa đơn</t>
  </si>
  <si>
    <t>Hàng trả tháng 12</t>
  </si>
  <si>
    <t>Khai trương tháng 12</t>
  </si>
  <si>
    <t>Ck khác</t>
  </si>
  <si>
    <t>CK + HỖ TRỢ QUÝ 3</t>
  </si>
  <si>
    <t>hỗ trợ push sale tháng 7+8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</si>
</sst>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i/>
      <u/>
      <sz val="12"/>
      <color theme="10"/>
      <name val="Times New Roman"/>
      <family val="1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rgb="FFFF0000"/>
      <name val="Times New Roman"/>
      <family val="1"/>
    </font>
    <font>
      <u/>
      <sz val="12"/>
      <color theme="0"/>
      <name val="Times New Roman"/>
      <family val="1"/>
    </font>
    <font>
      <sz val="12"/>
      <color rgb="FF0000FF"/>
      <name val="Times New Roman"/>
      <family val="1"/>
    </font>
    <font>
      <sz val="11"/>
      <name val=".VnTime"/>
      <family val="2"/>
    </font>
    <font>
      <sz val="10"/>
      <name val="Arial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</cellStyleXfs>
  <cellXfs count="10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right" wrapText="1"/>
    </xf>
    <xf numFmtId="166" fontId="7" fillId="2" borderId="0" xfId="1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6" fontId="6" fillId="0" borderId="1" xfId="1" applyNumberFormat="1" applyFont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38" fontId="6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6" fontId="7" fillId="0" borderId="1" xfId="1" applyNumberFormat="1" applyFont="1" applyBorder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vertical="center"/>
    </xf>
    <xf numFmtId="166" fontId="7" fillId="0" borderId="1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/>
    </xf>
    <xf numFmtId="166" fontId="13" fillId="0" borderId="1" xfId="1" applyNumberFormat="1" applyFont="1" applyFill="1" applyBorder="1" applyAlignment="1">
      <alignment horizontal="center"/>
    </xf>
    <xf numFmtId="0" fontId="14" fillId="0" borderId="1" xfId="2" applyFont="1" applyBorder="1" applyAlignment="1">
      <alignment vertical="center"/>
    </xf>
    <xf numFmtId="166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66" fontId="7" fillId="2" borderId="1" xfId="0" applyNumberFormat="1" applyFont="1" applyFill="1" applyBorder="1" applyAlignment="1">
      <alignment wrapText="1"/>
    </xf>
    <xf numFmtId="166" fontId="17" fillId="0" borderId="0" xfId="1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166" fontId="7" fillId="2" borderId="0" xfId="1" applyNumberFormat="1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1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38" fontId="6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7" fillId="2" borderId="0" xfId="1" applyNumberFormat="1" applyFont="1" applyFill="1" applyAlignment="1">
      <alignment horizontal="right" wrapText="1"/>
    </xf>
    <xf numFmtId="166" fontId="13" fillId="0" borderId="1" xfId="3" applyNumberFormat="1" applyFont="1" applyBorder="1"/>
    <xf numFmtId="166" fontId="13" fillId="0" borderId="1" xfId="3" applyNumberFormat="1" applyFont="1" applyBorder="1" applyAlignment="1">
      <alignment horizontal="center"/>
    </xf>
    <xf numFmtId="9" fontId="6" fillId="0" borderId="0" xfId="0" applyNumberFormat="1" applyFont="1"/>
    <xf numFmtId="166" fontId="6" fillId="0" borderId="1" xfId="1" applyNumberFormat="1" applyFont="1" applyBorder="1" applyAlignment="1"/>
    <xf numFmtId="166" fontId="7" fillId="0" borderId="1" xfId="1" applyNumberFormat="1" applyFont="1" applyBorder="1" applyAlignment="1"/>
    <xf numFmtId="0" fontId="10" fillId="0" borderId="0" xfId="0" applyFont="1"/>
    <xf numFmtId="166" fontId="6" fillId="0" borderId="1" xfId="0" applyNumberFormat="1" applyFont="1" applyBorder="1"/>
    <xf numFmtId="167" fontId="0" fillId="0" borderId="0" xfId="1" applyNumberFormat="1" applyFont="1"/>
    <xf numFmtId="166" fontId="13" fillId="3" borderId="1" xfId="1" applyNumberFormat="1" applyFont="1" applyFill="1" applyBorder="1" applyAlignment="1">
      <alignment horizontal="center"/>
    </xf>
    <xf numFmtId="166" fontId="13" fillId="0" borderId="1" xfId="1" applyNumberFormat="1" applyFont="1" applyBorder="1"/>
    <xf numFmtId="166" fontId="6" fillId="5" borderId="1" xfId="1" applyNumberFormat="1" applyFont="1" applyFill="1" applyBorder="1" applyAlignment="1">
      <alignment vertical="center"/>
    </xf>
    <xf numFmtId="167" fontId="6" fillId="0" borderId="1" xfId="3" applyNumberFormat="1" applyFont="1" applyBorder="1" applyAlignment="1">
      <alignment horizontal="center"/>
    </xf>
    <xf numFmtId="166" fontId="6" fillId="0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wrapText="1"/>
    </xf>
    <xf numFmtId="166" fontId="6" fillId="0" borderId="0" xfId="1" applyNumberFormat="1" applyFont="1" applyBorder="1" applyAlignment="1">
      <alignment wrapText="1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166" fontId="6" fillId="0" borderId="0" xfId="1" applyNumberFormat="1" applyFont="1" applyAlignment="1">
      <alignment wrapText="1"/>
    </xf>
    <xf numFmtId="166" fontId="6" fillId="6" borderId="1" xfId="1" applyNumberFormat="1" applyFont="1" applyFill="1" applyBorder="1" applyAlignment="1">
      <alignment wrapText="1"/>
    </xf>
    <xf numFmtId="167" fontId="13" fillId="0" borderId="1" xfId="3" applyNumberFormat="1" applyFont="1" applyFill="1" applyBorder="1" applyAlignment="1">
      <alignment horizontal="right" vertical="center"/>
    </xf>
    <xf numFmtId="166" fontId="6" fillId="0" borderId="1" xfId="5" applyNumberFormat="1" applyFont="1" applyBorder="1" applyAlignment="1">
      <alignment wrapText="1"/>
    </xf>
    <xf numFmtId="166" fontId="6" fillId="0" borderId="0" xfId="0" applyNumberFormat="1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4" fillId="2" borderId="1" xfId="2" applyFont="1" applyFill="1" applyBorder="1" applyAlignment="1">
      <alignment vertical="center"/>
    </xf>
    <xf numFmtId="0" fontId="20" fillId="2" borderId="1" xfId="2" applyFont="1" applyFill="1" applyBorder="1" applyAlignment="1">
      <alignment vertical="center"/>
    </xf>
    <xf numFmtId="0" fontId="21" fillId="4" borderId="1" xfId="2" applyFont="1" applyFill="1" applyBorder="1" applyAlignment="1">
      <alignment vertical="center"/>
    </xf>
    <xf numFmtId="0" fontId="14" fillId="5" borderId="1" xfId="2" applyFont="1" applyFill="1" applyBorder="1" applyAlignment="1">
      <alignment vertical="center"/>
    </xf>
    <xf numFmtId="0" fontId="14" fillId="3" borderId="1" xfId="2" applyFont="1" applyFill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22" fillId="0" borderId="0" xfId="0" applyFont="1" applyAlignment="1">
      <alignment vertical="center"/>
    </xf>
    <xf numFmtId="166" fontId="6" fillId="0" borderId="1" xfId="1" applyNumberFormat="1" applyFont="1" applyBorder="1"/>
    <xf numFmtId="167" fontId="6" fillId="0" borderId="0" xfId="0" applyNumberFormat="1" applyFont="1" applyAlignment="1">
      <alignment wrapText="1"/>
    </xf>
    <xf numFmtId="3" fontId="25" fillId="0" borderId="1" xfId="8" applyNumberFormat="1" applyFont="1" applyBorder="1" applyAlignment="1">
      <alignment horizontal="right" vertical="center"/>
    </xf>
    <xf numFmtId="38" fontId="6" fillId="0" borderId="3" xfId="1" applyNumberFormat="1" applyFont="1" applyBorder="1" applyAlignment="1">
      <alignment wrapText="1"/>
    </xf>
    <xf numFmtId="0" fontId="6" fillId="0" borderId="2" xfId="0" applyFont="1" applyBorder="1" applyAlignment="1">
      <alignment vertical="center"/>
    </xf>
    <xf numFmtId="164" fontId="6" fillId="0" borderId="0" xfId="0" applyNumberFormat="1" applyFont="1" applyAlignment="1">
      <alignment wrapText="1"/>
    </xf>
    <xf numFmtId="38" fontId="25" fillId="3" borderId="1" xfId="4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wrapText="1"/>
    </xf>
    <xf numFmtId="3" fontId="6" fillId="0" borderId="0" xfId="0" applyNumberFormat="1" applyFont="1" applyAlignment="1">
      <alignment wrapText="1"/>
    </xf>
    <xf numFmtId="3" fontId="0" fillId="0" borderId="0" xfId="0" applyNumberFormat="1"/>
    <xf numFmtId="167" fontId="13" fillId="0" borderId="1" xfId="1" applyNumberFormat="1" applyFont="1" applyBorder="1" applyAlignment="1">
      <alignment wrapText="1"/>
    </xf>
    <xf numFmtId="167" fontId="13" fillId="0" borderId="1" xfId="1" applyNumberFormat="1" applyFont="1" applyBorder="1" applyAlignment="1">
      <alignment horizontal="center"/>
    </xf>
    <xf numFmtId="167" fontId="19" fillId="0" borderId="1" xfId="1" applyNumberFormat="1" applyFont="1" applyBorder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 wrapText="1"/>
    </xf>
    <xf numFmtId="38" fontId="6" fillId="2" borderId="1" xfId="1" applyNumberFormat="1" applyFont="1" applyFill="1" applyBorder="1" applyAlignment="1">
      <alignment wrapText="1"/>
    </xf>
    <xf numFmtId="166" fontId="7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</cellXfs>
  <cellStyles count="13">
    <cellStyle name="Comma" xfId="1" builtinId="3"/>
    <cellStyle name="Comma 2" xfId="3"/>
    <cellStyle name="Comma 2 2" xfId="6"/>
    <cellStyle name="Comma 2 3" xfId="10"/>
    <cellStyle name="Comma 2 4" xfId="11"/>
    <cellStyle name="Comma 3" xfId="5"/>
    <cellStyle name="Hyperlink" xfId="2" builtinId="8"/>
    <cellStyle name="Normal" xfId="0" builtinId="0"/>
    <cellStyle name="Normal 2" xfId="4"/>
    <cellStyle name="Normal 2 2" xfId="9"/>
    <cellStyle name="Normal 3" xfId="7"/>
    <cellStyle name="Normal 3 2" xfId="8"/>
    <cellStyle name="Normal 4" xfId="1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1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4" sqref="B24"/>
    </sheetView>
  </sheetViews>
  <sheetFormatPr defaultColWidth="9.140625" defaultRowHeight="22.5" customHeight="1" x14ac:dyDescent="0.25"/>
  <cols>
    <col min="1" max="1" width="4.28515625" style="2" customWidth="1"/>
    <col min="2" max="2" width="32.7109375" style="77" customWidth="1"/>
    <col min="3" max="3" width="16.85546875" style="25" customWidth="1"/>
    <col min="4" max="6" width="15.85546875" style="25" customWidth="1"/>
    <col min="7" max="7" width="17.140625" style="25" customWidth="1"/>
    <col min="8" max="15" width="15.85546875" style="25" customWidth="1"/>
    <col min="16" max="16" width="17.85546875" style="25" customWidth="1"/>
    <col min="17" max="18" width="10.85546875" style="2" customWidth="1"/>
    <col min="19" max="16384" width="9.140625" style="2"/>
  </cols>
  <sheetData>
    <row r="1" spans="1:19" ht="22.5" customHeight="1" x14ac:dyDescent="0.25">
      <c r="A1" s="95" t="s">
        <v>79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7"/>
    </row>
    <row r="2" spans="1:19" s="4" customFormat="1" ht="33.950000000000003" customHeight="1" x14ac:dyDescent="0.25">
      <c r="A2" s="19" t="s">
        <v>0</v>
      </c>
      <c r="B2" s="70" t="s">
        <v>1</v>
      </c>
      <c r="C2" s="26">
        <v>2022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31" t="s">
        <v>15</v>
      </c>
      <c r="R2" s="31" t="s">
        <v>185</v>
      </c>
    </row>
    <row r="3" spans="1:19" ht="18" customHeight="1" x14ac:dyDescent="0.25">
      <c r="A3" s="20">
        <v>1</v>
      </c>
      <c r="B3" s="29" t="s">
        <v>17</v>
      </c>
      <c r="C3" s="23">
        <f>WIN!$N$3</f>
        <v>23414825281</v>
      </c>
      <c r="D3" s="23">
        <f>WIN!$B$10</f>
        <v>18862588466</v>
      </c>
      <c r="E3" s="23">
        <f>WIN!$C$10</f>
        <v>18668314352</v>
      </c>
      <c r="F3" s="23">
        <f>WIN!$D$10</f>
        <v>18729506054</v>
      </c>
      <c r="G3" s="23">
        <f>WIN!$E$10</f>
        <v>15166514097</v>
      </c>
      <c r="H3" s="23">
        <f>WIN!$F$10</f>
        <v>17281764460</v>
      </c>
      <c r="I3" s="23">
        <f>WIN!$G$10</f>
        <v>18247938225</v>
      </c>
      <c r="J3" s="23">
        <f>WIN!$H$10</f>
        <v>15146535511</v>
      </c>
      <c r="K3" s="23">
        <f>WIN!$I$10</f>
        <v>16319375904</v>
      </c>
      <c r="L3" s="23">
        <f>WIN!$J$10</f>
        <v>17240386575</v>
      </c>
      <c r="M3" s="23">
        <f>WIN!$K$10</f>
        <v>13416406560</v>
      </c>
      <c r="N3" s="23">
        <f>WIN!$L$10</f>
        <v>14495184041</v>
      </c>
      <c r="O3" s="23">
        <f>WIN!$M$10</f>
        <v>12383139522</v>
      </c>
      <c r="P3" s="23">
        <f>WIN!$N$10</f>
        <v>12383139522</v>
      </c>
      <c r="Q3" s="2" t="s">
        <v>108</v>
      </c>
      <c r="R3" s="2" t="s">
        <v>187</v>
      </c>
    </row>
    <row r="4" spans="1:19" ht="18" customHeight="1" x14ac:dyDescent="0.25">
      <c r="A4" s="20">
        <v>2</v>
      </c>
      <c r="B4" s="29" t="s">
        <v>112</v>
      </c>
      <c r="C4" s="23">
        <f>CIRCLEK!$N$3</f>
        <v>0</v>
      </c>
      <c r="D4" s="23">
        <f>CIRCLEK!$B$10</f>
        <v>0</v>
      </c>
      <c r="E4" s="23">
        <f>CIRCLEK!$C$10</f>
        <v>242979218</v>
      </c>
      <c r="F4" s="23">
        <f>CIRCLEK!$D$10</f>
        <v>399741724</v>
      </c>
      <c r="G4" s="23">
        <f>CIRCLEK!$E$10</f>
        <v>534886922</v>
      </c>
      <c r="H4" s="23">
        <f>CIRCLEK!$F$10</f>
        <v>778113078</v>
      </c>
      <c r="I4" s="23">
        <f>CIRCLEK!$G$10</f>
        <v>332587476</v>
      </c>
      <c r="J4" s="23">
        <f>CIRCLEK!$H$10</f>
        <v>227570728</v>
      </c>
      <c r="K4" s="23">
        <f>CIRCLEK!$I$10</f>
        <v>97714377</v>
      </c>
      <c r="L4" s="23">
        <f>CIRCLEK!$J$10</f>
        <v>-3488856</v>
      </c>
      <c r="M4" s="23">
        <f>CIRCLEK!$K$10</f>
        <v>-12369408</v>
      </c>
      <c r="N4" s="23">
        <f>CIRCLEK!$L$10</f>
        <v>116741425</v>
      </c>
      <c r="O4" s="23">
        <f>CIRCLEK!$M$10</f>
        <v>206393036</v>
      </c>
      <c r="P4" s="23">
        <f>CIRCLEK!$N$10</f>
        <v>206393036</v>
      </c>
      <c r="Q4" s="2" t="s">
        <v>132</v>
      </c>
      <c r="R4" s="2" t="s">
        <v>187</v>
      </c>
      <c r="S4" s="2" t="s">
        <v>191</v>
      </c>
    </row>
    <row r="5" spans="1:19" ht="18" customHeight="1" x14ac:dyDescent="0.25">
      <c r="A5" s="20">
        <v>3</v>
      </c>
      <c r="B5" s="29" t="s">
        <v>20</v>
      </c>
      <c r="C5" s="23">
        <f>BIGC!$N$3</f>
        <v>1309857388</v>
      </c>
      <c r="D5" s="23">
        <f>BIGC!$B$10</f>
        <v>1437107410</v>
      </c>
      <c r="E5" s="23">
        <f>BIGC!$C$10</f>
        <v>1345541096</v>
      </c>
      <c r="F5" s="23">
        <f>BIGC!$D$10</f>
        <v>1176632231</v>
      </c>
      <c r="G5" s="23">
        <f>BIGC!$E$10</f>
        <v>1269348184</v>
      </c>
      <c r="H5" s="23">
        <f>BIGC!$F$10</f>
        <v>1166058623</v>
      </c>
      <c r="I5" s="23">
        <f>BIGC!$G$10</f>
        <v>1094482977</v>
      </c>
      <c r="J5" s="23">
        <f>BIGC!$H$10</f>
        <v>689986683</v>
      </c>
      <c r="K5" s="23">
        <f>BIGC!$I$10</f>
        <v>868275308</v>
      </c>
      <c r="L5" s="23">
        <f>BIGC!$J$10</f>
        <v>700685591</v>
      </c>
      <c r="M5" s="23">
        <f>BIGC!$K$10</f>
        <v>699711632</v>
      </c>
      <c r="N5" s="23">
        <f>BIGC!$L$10</f>
        <v>802943670</v>
      </c>
      <c r="O5" s="23">
        <f>BIGC!$M$10</f>
        <v>946487274</v>
      </c>
      <c r="P5" s="23">
        <f>BIGC!$N$10</f>
        <v>946487274</v>
      </c>
      <c r="Q5" s="2" t="s">
        <v>114</v>
      </c>
      <c r="R5" s="2" t="s">
        <v>187</v>
      </c>
    </row>
    <row r="6" spans="1:19" ht="18" customHeight="1" x14ac:dyDescent="0.25">
      <c r="A6" s="20">
        <v>4</v>
      </c>
      <c r="B6" s="29" t="s">
        <v>22</v>
      </c>
      <c r="C6" s="23">
        <f>LOTTE!$N$3</f>
        <v>113581066</v>
      </c>
      <c r="D6" s="23">
        <f>LOTTE!$B$10</f>
        <v>250697261</v>
      </c>
      <c r="E6" s="23">
        <f>LOTTE!$C$10</f>
        <v>97480067</v>
      </c>
      <c r="F6" s="23">
        <f>LOTTE!$D$10</f>
        <v>123066461</v>
      </c>
      <c r="G6" s="23">
        <f>LOTTE!$E$10</f>
        <v>180696193</v>
      </c>
      <c r="H6" s="23">
        <f>LOTTE!$F$10</f>
        <v>142913976</v>
      </c>
      <c r="I6" s="23">
        <f>LOTTE!$G$10</f>
        <v>71344334</v>
      </c>
      <c r="J6" s="23">
        <f>LOTTE!$H$10</f>
        <v>64966101</v>
      </c>
      <c r="K6" s="23">
        <f>LOTTE!$I$10</f>
        <v>82965107</v>
      </c>
      <c r="L6" s="23">
        <f>LOTTE!$J$10</f>
        <v>57171478</v>
      </c>
      <c r="M6" s="23">
        <f>LOTTE!$K$10</f>
        <v>47136861</v>
      </c>
      <c r="N6" s="23">
        <f>LOTTE!$L$10</f>
        <v>55647368</v>
      </c>
      <c r="O6" s="23">
        <f>LOTTE!$M$10</f>
        <v>40809460</v>
      </c>
      <c r="P6" s="23">
        <f>LOTTE!$N$10</f>
        <v>40809460</v>
      </c>
      <c r="Q6" s="2" t="s">
        <v>114</v>
      </c>
      <c r="R6" s="2" t="s">
        <v>187</v>
      </c>
    </row>
    <row r="7" spans="1:19" ht="18" customHeight="1" x14ac:dyDescent="0.25">
      <c r="A7" s="20">
        <v>5</v>
      </c>
      <c r="B7" s="29" t="s">
        <v>23</v>
      </c>
      <c r="C7" s="23">
        <f>MEGA!$N$3</f>
        <v>1135712306</v>
      </c>
      <c r="D7" s="23">
        <f>MEGA!$B$10</f>
        <v>1516275890</v>
      </c>
      <c r="E7" s="23">
        <f>MEGA!$C$10</f>
        <v>1437747791</v>
      </c>
      <c r="F7" s="23">
        <f>MEGA!$D$10</f>
        <v>1594193610</v>
      </c>
      <c r="G7" s="23">
        <f>MEGA!$E$10</f>
        <v>1718272557</v>
      </c>
      <c r="H7" s="23">
        <f>MEGA!$F$10</f>
        <v>947871692</v>
      </c>
      <c r="I7" s="23">
        <f>MEGA!$G$10</f>
        <v>582997027</v>
      </c>
      <c r="J7" s="23">
        <f>MEGA!$H$10</f>
        <v>535486213</v>
      </c>
      <c r="K7" s="23">
        <f>MEGA!$I$10</f>
        <v>471272220</v>
      </c>
      <c r="L7" s="23">
        <f>MEGA!$J$10</f>
        <v>391349122</v>
      </c>
      <c r="M7" s="23">
        <f>MEGA!$K$10</f>
        <v>418730643</v>
      </c>
      <c r="N7" s="23">
        <f>MEGA!$L$10</f>
        <v>373550513</v>
      </c>
      <c r="O7" s="23">
        <f>MEGA!$M$10</f>
        <v>536669673</v>
      </c>
      <c r="P7" s="23">
        <f>MEGA!$N$10</f>
        <v>536669673</v>
      </c>
      <c r="Q7" s="2" t="s">
        <v>114</v>
      </c>
      <c r="R7" s="2" t="s">
        <v>187</v>
      </c>
    </row>
    <row r="8" spans="1:19" ht="18" customHeight="1" x14ac:dyDescent="0.25">
      <c r="A8" s="20">
        <v>6</v>
      </c>
      <c r="B8" s="29" t="s">
        <v>37</v>
      </c>
      <c r="C8" s="23">
        <f>'SÀNH ĐIỆU'!$N$3</f>
        <v>30276419</v>
      </c>
      <c r="D8" s="23">
        <f>'SÀNH ĐIỆU'!$B$10</f>
        <v>18800520</v>
      </c>
      <c r="E8" s="23">
        <f>'SÀNH ĐIỆU'!$C$10</f>
        <v>32644756</v>
      </c>
      <c r="F8" s="23">
        <f>'SÀNH ĐIỆU'!$D$10</f>
        <v>29923590</v>
      </c>
      <c r="G8" s="23">
        <f>'SÀNH ĐIỆU'!$E$10</f>
        <v>16960634</v>
      </c>
      <c r="H8" s="23">
        <f>'SÀNH ĐIỆU'!$F$10</f>
        <v>11543717</v>
      </c>
      <c r="I8" s="23">
        <f>'SÀNH ĐIỆU'!$G$10</f>
        <v>9780634</v>
      </c>
      <c r="J8" s="23">
        <f>'SÀNH ĐIỆU'!$H$10</f>
        <v>13563137</v>
      </c>
      <c r="K8" s="23">
        <f>'SÀNH ĐIỆU'!$I$10</f>
        <v>30720829</v>
      </c>
      <c r="L8" s="23">
        <f>'SÀNH ĐIỆU'!$J$10</f>
        <v>24234080</v>
      </c>
      <c r="M8" s="23">
        <f>'SÀNH ĐIỆU'!$K$10</f>
        <v>16894537</v>
      </c>
      <c r="N8" s="23">
        <f>'SÀNH ĐIỆU'!$L$10</f>
        <v>0</v>
      </c>
      <c r="O8" s="23">
        <f>'SÀNH ĐIỆU'!$M$10</f>
        <v>0</v>
      </c>
      <c r="P8" s="23">
        <f>'SÀNH ĐIỆU'!$N$10</f>
        <v>16894537</v>
      </c>
      <c r="Q8" s="2" t="s">
        <v>132</v>
      </c>
      <c r="R8" s="2" t="s">
        <v>187</v>
      </c>
    </row>
    <row r="9" spans="1:19" ht="18" customHeight="1" x14ac:dyDescent="0.25">
      <c r="A9" s="20">
        <v>7</v>
      </c>
      <c r="B9" s="71" t="s">
        <v>16</v>
      </c>
      <c r="C9" s="23">
        <f>AEON!$N$3</f>
        <v>123549817</v>
      </c>
      <c r="D9" s="23">
        <f>AEON!$B$10</f>
        <v>122522431</v>
      </c>
      <c r="E9" s="23">
        <f>AEON!$C$10</f>
        <v>70080090</v>
      </c>
      <c r="F9" s="23">
        <f>AEON!$D$10</f>
        <v>65310138</v>
      </c>
      <c r="G9" s="23">
        <f>AEON!$E$10</f>
        <v>115574870</v>
      </c>
      <c r="H9" s="23">
        <f>AEON!$F$10</f>
        <v>110049684</v>
      </c>
      <c r="I9" s="23">
        <f>AEON!$G$10</f>
        <v>128091864</v>
      </c>
      <c r="J9" s="23">
        <f>AEON!$H$10</f>
        <v>105935064</v>
      </c>
      <c r="K9" s="23">
        <f>AEON!$I$10</f>
        <v>135953739</v>
      </c>
      <c r="L9" s="23">
        <f>AEON!$J$10</f>
        <v>158753126</v>
      </c>
      <c r="M9" s="23">
        <f>AEON!$K$10</f>
        <v>184396884</v>
      </c>
      <c r="N9" s="23">
        <f>AEON!$L$10</f>
        <v>211306301</v>
      </c>
      <c r="O9" s="23">
        <f>AEON!$M$10</f>
        <v>238138411</v>
      </c>
      <c r="P9" s="23">
        <f>AEON!$N$10</f>
        <v>238138411</v>
      </c>
      <c r="Q9" s="2" t="s">
        <v>108</v>
      </c>
      <c r="R9" s="2" t="s">
        <v>186</v>
      </c>
    </row>
    <row r="10" spans="1:19" ht="18" customHeight="1" x14ac:dyDescent="0.25">
      <c r="A10" s="20">
        <v>8</v>
      </c>
      <c r="B10" s="29" t="s">
        <v>19</v>
      </c>
      <c r="C10" s="23">
        <f>COOP!$N$3</f>
        <v>2111429010</v>
      </c>
      <c r="D10" s="23">
        <f>COOP!$B$10</f>
        <v>3083075175</v>
      </c>
      <c r="E10" s="23">
        <f>COOP!$C$10</f>
        <v>2126303644</v>
      </c>
      <c r="F10" s="23">
        <f>COOP!$D$10</f>
        <v>2372825689</v>
      </c>
      <c r="G10" s="23">
        <f>COOP!$E$10</f>
        <v>1828723399</v>
      </c>
      <c r="H10" s="23">
        <f>COOP!$F$10</f>
        <v>1841446357</v>
      </c>
      <c r="I10" s="23">
        <f>COOP!$G$10</f>
        <v>1372340537</v>
      </c>
      <c r="J10" s="23">
        <f>COOP!$H$10</f>
        <v>1205513584.6999998</v>
      </c>
      <c r="K10" s="23">
        <f>COOP!$I$10</f>
        <v>1480067224.6999998</v>
      </c>
      <c r="L10" s="23">
        <f>COOP!$J$10</f>
        <v>1145839509.6999998</v>
      </c>
      <c r="M10" s="23">
        <f>COOP!$K$10</f>
        <v>1293265959.6999998</v>
      </c>
      <c r="N10" s="23">
        <f>COOP!$L$10</f>
        <v>1410878813.6999998</v>
      </c>
      <c r="O10" s="23">
        <f>COOP!$M$10</f>
        <v>0</v>
      </c>
      <c r="P10" s="23">
        <f>COOP!$N$10</f>
        <v>1413395795.7000008</v>
      </c>
      <c r="Q10" s="2" t="s">
        <v>132</v>
      </c>
      <c r="R10" s="2" t="s">
        <v>186</v>
      </c>
    </row>
    <row r="11" spans="1:19" ht="18" customHeight="1" x14ac:dyDescent="0.25">
      <c r="A11" s="20">
        <v>9</v>
      </c>
      <c r="B11" s="75" t="s">
        <v>21</v>
      </c>
      <c r="C11" s="23">
        <f>'GS25'!$N$3</f>
        <v>447660671</v>
      </c>
      <c r="D11" s="23">
        <f>'GS25'!$B$10</f>
        <v>536100214</v>
      </c>
      <c r="E11" s="23">
        <f>'GS25'!$C$10</f>
        <v>376619264</v>
      </c>
      <c r="F11" s="23">
        <f>'GS25'!$D$10</f>
        <v>452006301</v>
      </c>
      <c r="G11" s="23">
        <f>'GS25'!$E$10</f>
        <v>482245824</v>
      </c>
      <c r="H11" s="23">
        <f>'GS25'!$F$10</f>
        <v>516877237</v>
      </c>
      <c r="I11" s="23">
        <f>'GS25'!$G$10</f>
        <v>567652304</v>
      </c>
      <c r="J11" s="23">
        <f>'GS25'!$H$10</f>
        <v>348528033</v>
      </c>
      <c r="K11" s="23">
        <f>'GS25'!$I$10</f>
        <v>199277400</v>
      </c>
      <c r="L11" s="23">
        <f>'GS25'!$J$10</f>
        <v>282119109</v>
      </c>
      <c r="M11" s="23">
        <f>'GS25'!$K$10</f>
        <v>200964145</v>
      </c>
      <c r="N11" s="23">
        <f>'GS25'!$L$10</f>
        <v>125268777.47999999</v>
      </c>
      <c r="O11" s="23">
        <f>'GS25'!$M$10</f>
        <v>152465115.47999999</v>
      </c>
      <c r="P11" s="23">
        <f>'GS25'!$N$10</f>
        <v>152465115.48000002</v>
      </c>
      <c r="Q11" s="2" t="s">
        <v>132</v>
      </c>
      <c r="R11" s="2" t="s">
        <v>186</v>
      </c>
      <c r="S11" s="2" t="s">
        <v>191</v>
      </c>
    </row>
    <row r="12" spans="1:19" ht="18" customHeight="1" x14ac:dyDescent="0.25">
      <c r="A12" s="20">
        <v>10</v>
      </c>
      <c r="B12" s="29" t="s">
        <v>24</v>
      </c>
      <c r="C12" s="23">
        <f>'SATRA-004'!$N$3</f>
        <v>14223274</v>
      </c>
      <c r="D12" s="23">
        <f>'SATRA-004'!$B$10</f>
        <v>20798620</v>
      </c>
      <c r="E12" s="23">
        <f>'SATRA-004'!$C$10</f>
        <v>14852884</v>
      </c>
      <c r="F12" s="23">
        <f>'SATRA-004'!$D$10</f>
        <v>11138811</v>
      </c>
      <c r="G12" s="23">
        <f>'SATRA-004'!$E$10</f>
        <v>11869469</v>
      </c>
      <c r="H12" s="23">
        <f>'SATRA-004'!$F$10</f>
        <v>12144505</v>
      </c>
      <c r="I12" s="23">
        <f>'SATRA-004'!$G$10</f>
        <v>14171864</v>
      </c>
      <c r="J12" s="23">
        <f>'SATRA-004'!$H$10</f>
        <v>13538756</v>
      </c>
      <c r="K12" s="23">
        <f>'SATRA-004'!$I$10</f>
        <v>11045269</v>
      </c>
      <c r="L12" s="23">
        <f>'SATRA-004'!$J$10</f>
        <v>11447275</v>
      </c>
      <c r="M12" s="23">
        <f>'SATRA-004'!$K$10</f>
        <v>12250768</v>
      </c>
      <c r="N12" s="23">
        <f>'SATRA-004'!$L$10</f>
        <v>12786328</v>
      </c>
      <c r="O12" s="23">
        <f>'SATRA-004'!$M$10</f>
        <v>12249927</v>
      </c>
      <c r="P12" s="23">
        <f>'SATRA-004'!$N$10</f>
        <v>12249927</v>
      </c>
      <c r="Q12" s="2" t="s">
        <v>114</v>
      </c>
      <c r="R12" s="2" t="s">
        <v>186</v>
      </c>
    </row>
    <row r="13" spans="1:19" ht="18" customHeight="1" x14ac:dyDescent="0.25">
      <c r="A13" s="20">
        <v>11</v>
      </c>
      <c r="B13" s="29" t="s">
        <v>25</v>
      </c>
      <c r="C13" s="23">
        <f>'SATRA-020'!$N$3</f>
        <v>14349012</v>
      </c>
      <c r="D13" s="23">
        <f>'SATRA-020'!$B$10</f>
        <v>26417611</v>
      </c>
      <c r="E13" s="23">
        <f>'SATRA-020'!$C$10</f>
        <v>31411403</v>
      </c>
      <c r="F13" s="23">
        <f>'SATRA-020'!$D$10</f>
        <v>7879795</v>
      </c>
      <c r="G13" s="23">
        <f>'SATRA-020'!$E$10</f>
        <v>18094032</v>
      </c>
      <c r="H13" s="23">
        <f>'SATRA-020'!$F$10</f>
        <v>18094032</v>
      </c>
      <c r="I13" s="23">
        <f>'SATRA-020'!$G$10</f>
        <v>10170012</v>
      </c>
      <c r="J13" s="23">
        <f>'SATRA-020'!$H$10</f>
        <v>15237701</v>
      </c>
      <c r="K13" s="23">
        <f>'SATRA-020'!$I$10</f>
        <v>20905103</v>
      </c>
      <c r="L13" s="23">
        <f>'SATRA-020'!$J$10</f>
        <v>15284701</v>
      </c>
      <c r="M13" s="23">
        <f>'SATRA-020'!$K$10</f>
        <v>19752678</v>
      </c>
      <c r="N13" s="23">
        <f>'SATRA-020'!$L$10</f>
        <v>10360934</v>
      </c>
      <c r="O13" s="23">
        <f>'SATRA-020'!$M$10</f>
        <v>17488726</v>
      </c>
      <c r="P13" s="23">
        <f>'SATRA-020'!$N$10</f>
        <v>17488726</v>
      </c>
      <c r="Q13" s="2" t="s">
        <v>114</v>
      </c>
      <c r="R13" s="2" t="s">
        <v>186</v>
      </c>
    </row>
    <row r="14" spans="1:19" ht="18" customHeight="1" x14ac:dyDescent="0.25">
      <c r="A14" s="20">
        <v>12</v>
      </c>
      <c r="B14" s="71" t="s">
        <v>80</v>
      </c>
      <c r="C14" s="23">
        <f>'SATRA-025'!$N$3</f>
        <v>1343474155</v>
      </c>
      <c r="D14" s="23">
        <f>'SATRA-025'!$B$10</f>
        <v>1426784582</v>
      </c>
      <c r="E14" s="23">
        <f>'SATRA-025'!$C$10</f>
        <v>1532761776</v>
      </c>
      <c r="F14" s="23">
        <f>'SATRA-025'!$D$10</f>
        <v>1617936696</v>
      </c>
      <c r="G14" s="23">
        <f>'SATRA-025'!$E$10</f>
        <v>1461810782</v>
      </c>
      <c r="H14" s="23">
        <f>'SATRA-025'!$F$10</f>
        <v>832742389</v>
      </c>
      <c r="I14" s="23">
        <f>'SATRA-025'!$G$10</f>
        <v>580757092</v>
      </c>
      <c r="J14" s="23">
        <f>'SATRA-025'!$H$10</f>
        <v>406543279</v>
      </c>
      <c r="K14" s="23">
        <f>'SATRA-025'!$I$10</f>
        <v>343421145</v>
      </c>
      <c r="L14" s="23">
        <f>'SATRA-025'!$J$10</f>
        <v>309375589</v>
      </c>
      <c r="M14" s="23">
        <f>'SATRA-025'!$K$10</f>
        <v>307500087</v>
      </c>
      <c r="N14" s="23">
        <f>'SATRA-025'!$L$10</f>
        <v>260807635</v>
      </c>
      <c r="O14" s="23">
        <f>'SATRA-025'!$M$10</f>
        <v>270658397</v>
      </c>
      <c r="P14" s="23">
        <f>'SATRA-025'!$N$10</f>
        <v>270658397</v>
      </c>
      <c r="Q14" s="2" t="s">
        <v>114</v>
      </c>
      <c r="R14" s="2" t="s">
        <v>186</v>
      </c>
    </row>
    <row r="15" spans="1:19" ht="18" customHeight="1" x14ac:dyDescent="0.25">
      <c r="A15" s="20">
        <v>13</v>
      </c>
      <c r="B15" s="29" t="s">
        <v>26</v>
      </c>
      <c r="C15" s="23">
        <f>'SATRA-027'!$N$3</f>
        <v>27745568</v>
      </c>
      <c r="D15" s="23">
        <f>'SATRA-027'!$B$10</f>
        <v>54130647</v>
      </c>
      <c r="E15" s="23">
        <f>'SATRA-027'!$C$10</f>
        <v>32817942</v>
      </c>
      <c r="F15" s="23">
        <f>'SATRA-027'!$D$10</f>
        <v>12371854</v>
      </c>
      <c r="G15" s="23">
        <f>'SATRA-027'!$E$10</f>
        <v>15961831</v>
      </c>
      <c r="H15" s="23">
        <f>'SATRA-027'!$F$10</f>
        <v>18374788</v>
      </c>
      <c r="I15" s="23">
        <f>'SATRA-027'!$G$10</f>
        <v>21126496</v>
      </c>
      <c r="J15" s="23">
        <f>'SATRA-027'!$H$10</f>
        <v>11884329</v>
      </c>
      <c r="K15" s="23">
        <f>'SATRA-027'!$I$10</f>
        <v>26059201</v>
      </c>
      <c r="L15" s="23">
        <f>'SATRA-027'!$J$10</f>
        <v>23412889</v>
      </c>
      <c r="M15" s="23">
        <f>'SATRA-027'!$K$10</f>
        <v>14369476</v>
      </c>
      <c r="N15" s="23">
        <f>'SATRA-027'!$L$10</f>
        <v>14521834</v>
      </c>
      <c r="O15" s="23">
        <f>'SATRA-027'!$M$10</f>
        <v>18374758</v>
      </c>
      <c r="P15" s="23">
        <f>'SATRA-027'!$N$10</f>
        <v>18374758</v>
      </c>
      <c r="Q15" s="2" t="s">
        <v>114</v>
      </c>
      <c r="R15" s="2" t="s">
        <v>186</v>
      </c>
    </row>
    <row r="16" spans="1:19" ht="18" customHeight="1" x14ac:dyDescent="0.25">
      <c r="A16" s="20">
        <v>14</v>
      </c>
      <c r="B16" s="71" t="s">
        <v>30</v>
      </c>
      <c r="C16" s="23">
        <f>NHATMINH!$N$3</f>
        <v>32632484</v>
      </c>
      <c r="D16" s="23">
        <f>NHATMINH!$B$10</f>
        <v>38379800</v>
      </c>
      <c r="E16" s="23">
        <f>NHATMINH!$C$10</f>
        <v>50795654</v>
      </c>
      <c r="F16" s="23">
        <f>NHATMINH!$D$10</f>
        <v>69397975</v>
      </c>
      <c r="G16" s="23">
        <f>NHATMINH!$E$10</f>
        <v>84329881</v>
      </c>
      <c r="H16" s="23">
        <f>NHATMINH!$F$10</f>
        <v>60660157.689999998</v>
      </c>
      <c r="I16" s="23">
        <f>NHATMINH!$G$10</f>
        <v>69772300.480000004</v>
      </c>
      <c r="J16" s="23">
        <f>NHATMINH!$H$10</f>
        <v>33729428.480000004</v>
      </c>
      <c r="K16" s="23">
        <f>NHATMINH!$I$10</f>
        <v>14224744.095600002</v>
      </c>
      <c r="L16" s="23">
        <f>NHATMINH!$J$10</f>
        <v>26381367.435600001</v>
      </c>
      <c r="M16" s="23">
        <f>NHATMINH!$K$10</f>
        <v>21709561.279599994</v>
      </c>
      <c r="N16" s="23">
        <f>NHATMINH!$L$10</f>
        <v>32829997.219599996</v>
      </c>
      <c r="O16" s="23">
        <f>NHATMINH!$M$10</f>
        <v>27158939.219599992</v>
      </c>
      <c r="P16" s="23">
        <f>NHATMINH!$N$10</f>
        <v>27158939.219599992</v>
      </c>
      <c r="Q16" s="2" t="s">
        <v>132</v>
      </c>
      <c r="R16" s="2" t="s">
        <v>186</v>
      </c>
    </row>
    <row r="17" spans="1:18" ht="18" customHeight="1" x14ac:dyDescent="0.25">
      <c r="A17" s="20">
        <v>15</v>
      </c>
      <c r="B17" s="29" t="s">
        <v>32</v>
      </c>
      <c r="C17" s="23">
        <f>'VIỆT Ý NT'!$N$3</f>
        <v>12105978</v>
      </c>
      <c r="D17" s="23">
        <f>'VIỆT Ý NT'!$B$10</f>
        <v>5104689</v>
      </c>
      <c r="E17" s="23">
        <f>'VIỆT Ý NT'!$C$10</f>
        <v>18690321</v>
      </c>
      <c r="F17" s="23">
        <f>'VIỆT Ý NT'!$D$10</f>
        <v>22714873</v>
      </c>
      <c r="G17" s="23">
        <f>'VIỆT Ý NT'!$E$10</f>
        <v>30478671</v>
      </c>
      <c r="H17" s="23">
        <f>'VIỆT Ý NT'!$F$10</f>
        <v>39145735</v>
      </c>
      <c r="I17" s="23">
        <f>'VIỆT Ý NT'!$G$10</f>
        <v>36217789</v>
      </c>
      <c r="J17" s="23">
        <f>'VIỆT Ý NT'!$H$10</f>
        <v>34409983.600000001</v>
      </c>
      <c r="K17" s="23">
        <f>'VIỆT Ý NT'!$I$10</f>
        <v>47514784.600000001</v>
      </c>
      <c r="L17" s="23">
        <f>'VIỆT Ý NT'!$J$10</f>
        <v>32744756.600000001</v>
      </c>
      <c r="M17" s="23">
        <f>'VIỆT Ý NT'!$K$10</f>
        <v>25764953.600000001</v>
      </c>
      <c r="N17" s="23">
        <f>'VIỆT Ý NT'!$L$10</f>
        <v>33916618.600000001</v>
      </c>
      <c r="O17" s="23">
        <f>'VIỆT Ý NT'!$M$10</f>
        <v>46372967.600000001</v>
      </c>
      <c r="P17" s="23">
        <f>'VIỆT Ý NT'!$N$10</f>
        <v>46372967.599999994</v>
      </c>
      <c r="Q17" s="2" t="s">
        <v>114</v>
      </c>
      <c r="R17" s="2" t="s">
        <v>186</v>
      </c>
    </row>
    <row r="18" spans="1:18" ht="18" customHeight="1" x14ac:dyDescent="0.25">
      <c r="A18" s="20">
        <v>16</v>
      </c>
      <c r="B18" s="29" t="s">
        <v>33</v>
      </c>
      <c r="C18" s="23">
        <f>LARIA!$N$3</f>
        <v>1258123</v>
      </c>
      <c r="D18" s="23">
        <f>LARIA!$B$10</f>
        <v>2161577.2000000002</v>
      </c>
      <c r="E18" s="23">
        <f>LARIA!$C$10</f>
        <v>790552.76000000024</v>
      </c>
      <c r="F18" s="23">
        <f>LARIA!$D$10</f>
        <v>6286186.3099999996</v>
      </c>
      <c r="G18" s="23">
        <f>LARIA!$E$10</f>
        <v>9763673.1799999978</v>
      </c>
      <c r="H18" s="23">
        <f>LARIA!$F$10</f>
        <v>14234194.239999998</v>
      </c>
      <c r="I18" s="23">
        <f>LARIA!$G$10</f>
        <v>15666177.239999998</v>
      </c>
      <c r="J18" s="23">
        <f>LARIA!$H$10</f>
        <v>4601681.2399999984</v>
      </c>
      <c r="K18" s="23">
        <f>LARIA!$I$10</f>
        <v>5559732.2399999984</v>
      </c>
      <c r="L18" s="23">
        <f>LARIA!$J$10</f>
        <v>9701911.2399999984</v>
      </c>
      <c r="M18" s="23">
        <f>LARIA!$K$10</f>
        <v>10659962.239999998</v>
      </c>
      <c r="N18" s="23">
        <f>LARIA!$L$10</f>
        <v>10659962.239999998</v>
      </c>
      <c r="O18" s="23">
        <f>LARIA!$M$10</f>
        <v>10659962.239999998</v>
      </c>
      <c r="P18" s="23">
        <f>LARIA!$N$10</f>
        <v>10659962.239999998</v>
      </c>
      <c r="Q18" s="2" t="s">
        <v>114</v>
      </c>
      <c r="R18" s="2" t="s">
        <v>186</v>
      </c>
    </row>
    <row r="19" spans="1:18" ht="18" customHeight="1" x14ac:dyDescent="0.25">
      <c r="A19" s="20">
        <v>17</v>
      </c>
      <c r="B19" s="73" t="s">
        <v>34</v>
      </c>
      <c r="C19" s="23">
        <f>NOVA!$B$10</f>
        <v>112284707</v>
      </c>
      <c r="D19" s="23">
        <f>NOVA!$B$10</f>
        <v>112284707</v>
      </c>
      <c r="E19" s="23">
        <f>NOVA!$C$10</f>
        <v>112284707</v>
      </c>
      <c r="F19" s="23">
        <f>NOVA!$D$10</f>
        <v>112284707</v>
      </c>
      <c r="G19" s="23">
        <f>NOVA!$E$10</f>
        <v>112284707</v>
      </c>
      <c r="H19" s="23">
        <f>NOVA!$F$10</f>
        <v>112284707</v>
      </c>
      <c r="I19" s="23">
        <f>NOVA!$G$10</f>
        <v>112284707</v>
      </c>
      <c r="J19" s="23">
        <f>NOVA!$H$10</f>
        <v>112284707</v>
      </c>
      <c r="K19" s="23">
        <f>NOVA!$I$10</f>
        <v>101481256</v>
      </c>
      <c r="L19" s="23">
        <f>NOVA!$J$10</f>
        <v>101481256</v>
      </c>
      <c r="M19" s="23">
        <f>NOVA!$K$10</f>
        <v>101481256</v>
      </c>
      <c r="N19" s="23">
        <f>NOVA!$L$10</f>
        <v>0</v>
      </c>
      <c r="O19" s="23">
        <f>NOVA!$M$10</f>
        <v>0</v>
      </c>
      <c r="P19" s="23">
        <f>NOVA!$N$10</f>
        <v>101481256</v>
      </c>
      <c r="Q19" s="2" t="s">
        <v>132</v>
      </c>
      <c r="R19" s="2" t="s">
        <v>186</v>
      </c>
    </row>
    <row r="20" spans="1:18" ht="18" customHeight="1" x14ac:dyDescent="0.25">
      <c r="A20" s="20">
        <v>18</v>
      </c>
      <c r="B20" s="29" t="s">
        <v>35</v>
      </c>
      <c r="C20" s="23">
        <f>SEVEN!$N$3</f>
        <v>30678730</v>
      </c>
      <c r="D20" s="23">
        <f>SEVEN!$B$10</f>
        <v>29871872</v>
      </c>
      <c r="E20" s="23">
        <f>SEVEN!$C$10</f>
        <v>60338255</v>
      </c>
      <c r="F20" s="23">
        <f>SEVEN!$D$10</f>
        <v>284139988</v>
      </c>
      <c r="G20" s="23">
        <f>SEVEN!$E$10</f>
        <v>321297179</v>
      </c>
      <c r="H20" s="23">
        <f>SEVEN!$F$10</f>
        <v>353098345</v>
      </c>
      <c r="I20" s="23">
        <f>SEVEN!$G$10</f>
        <v>239883057</v>
      </c>
      <c r="J20" s="23">
        <f>SEVEN!$H$10</f>
        <v>208869844</v>
      </c>
      <c r="K20" s="23">
        <f>SEVEN!$I$10</f>
        <v>100245939</v>
      </c>
      <c r="L20" s="23">
        <f>SEVEN!$J$10</f>
        <v>98705187</v>
      </c>
      <c r="M20" s="23">
        <f>SEVEN!$K$10</f>
        <v>27092510</v>
      </c>
      <c r="N20" s="23">
        <f>SEVEN!$L$10</f>
        <v>22828480</v>
      </c>
      <c r="O20" s="23">
        <f>SEVEN!$M$10</f>
        <v>25102290</v>
      </c>
      <c r="P20" s="23">
        <f>SEVEN!$N$10</f>
        <v>25102290</v>
      </c>
      <c r="Q20" s="2" t="s">
        <v>114</v>
      </c>
      <c r="R20" s="2" t="s">
        <v>186</v>
      </c>
    </row>
    <row r="21" spans="1:18" ht="18" customHeight="1" x14ac:dyDescent="0.25">
      <c r="A21" s="20">
        <v>19</v>
      </c>
      <c r="B21" s="29" t="s">
        <v>36</v>
      </c>
      <c r="C21" s="23">
        <f>SAIGONHD!$N$3</f>
        <v>64984892</v>
      </c>
      <c r="D21" s="23">
        <f>SAIGONHD!$B$10</f>
        <v>73862445</v>
      </c>
      <c r="E21" s="23">
        <f>SAIGONHD!$C$10</f>
        <v>74238414</v>
      </c>
      <c r="F21" s="23">
        <f>SAIGONHD!$D$10</f>
        <v>82389979</v>
      </c>
      <c r="G21" s="23">
        <f>SAIGONHD!$E$10</f>
        <v>90327414</v>
      </c>
      <c r="H21" s="23">
        <f>SAIGONHD!$F$10</f>
        <v>21314624</v>
      </c>
      <c r="I21" s="23">
        <f>SAIGONHD!$G$10</f>
        <v>28197202</v>
      </c>
      <c r="J21" s="23">
        <f>SAIGONHD!$H$10</f>
        <v>36747070</v>
      </c>
      <c r="K21" s="23">
        <f>SAIGONHD!$I$10</f>
        <v>23412521</v>
      </c>
      <c r="L21" s="23">
        <f>SAIGONHD!$J$10</f>
        <v>29477508</v>
      </c>
      <c r="M21" s="23">
        <f>SAIGONHD!$K$10</f>
        <v>23939704</v>
      </c>
      <c r="N21" s="23">
        <f>SAIGONHD!$L$10</f>
        <v>28937629</v>
      </c>
      <c r="O21" s="23">
        <f>SAIGONHD!$M$10</f>
        <v>33522214</v>
      </c>
      <c r="P21" s="23">
        <f>SAIGONHD!$N$10</f>
        <v>33522214</v>
      </c>
      <c r="Q21" s="2" t="s">
        <v>114</v>
      </c>
      <c r="R21" s="2" t="s">
        <v>186</v>
      </c>
    </row>
    <row r="22" spans="1:18" ht="18" customHeight="1" x14ac:dyDescent="0.25">
      <c r="A22" s="20">
        <v>20</v>
      </c>
      <c r="B22" s="74" t="s">
        <v>40</v>
      </c>
      <c r="C22" s="55">
        <f>USMART!$N$3</f>
        <v>12989320</v>
      </c>
      <c r="D22" s="55">
        <f>USMART!$B$10</f>
        <v>16515882</v>
      </c>
      <c r="E22" s="55">
        <f>USMART!$C$10</f>
        <v>18422299</v>
      </c>
      <c r="F22" s="55">
        <f>USMART!$D$10</f>
        <v>20275526</v>
      </c>
      <c r="G22" s="55">
        <f>USMART!$E$10</f>
        <v>20811493</v>
      </c>
      <c r="H22" s="55">
        <f>USMART!$F$10</f>
        <v>3508768</v>
      </c>
      <c r="I22" s="55">
        <f>USMART!$G$10</f>
        <v>1801524</v>
      </c>
      <c r="J22" s="55">
        <f>USMART!$H$10</f>
        <v>-3080715</v>
      </c>
      <c r="K22" s="55">
        <f>USMART!$I$10</f>
        <v>-3080715</v>
      </c>
      <c r="L22" s="55">
        <f>USMART!$J$10</f>
        <v>-3080715</v>
      </c>
      <c r="M22" s="55">
        <f>USMART!$K$10</f>
        <v>-3080715</v>
      </c>
      <c r="N22" s="55">
        <f>USMART!$L$10</f>
        <v>0</v>
      </c>
      <c r="O22" s="55">
        <f>USMART!$M$10</f>
        <v>0</v>
      </c>
      <c r="P22" s="55">
        <f>USMART!$N$10</f>
        <v>-3080715</v>
      </c>
      <c r="Q22" s="2" t="s">
        <v>132</v>
      </c>
      <c r="R22" s="2" t="s">
        <v>186</v>
      </c>
    </row>
    <row r="23" spans="1:18" ht="18" customHeight="1" x14ac:dyDescent="0.25">
      <c r="A23" s="20">
        <v>21</v>
      </c>
      <c r="B23" s="74" t="s">
        <v>41</v>
      </c>
      <c r="C23" s="55">
        <f>RETAIL!$N$3</f>
        <v>45645470</v>
      </c>
      <c r="D23" s="55">
        <f>RETAIL!$B$10</f>
        <v>45645470</v>
      </c>
      <c r="E23" s="55">
        <f>RETAIL!$C$10</f>
        <v>37553884</v>
      </c>
      <c r="F23" s="55">
        <f>RETAIL!$D$10</f>
        <v>29272570</v>
      </c>
      <c r="G23" s="55">
        <f>RETAIL!$E$10</f>
        <v>29272570</v>
      </c>
      <c r="H23" s="55">
        <f>RETAIL!$F$10</f>
        <v>29272570</v>
      </c>
      <c r="I23" s="55">
        <f>RETAIL!$G$10</f>
        <v>29272570</v>
      </c>
      <c r="J23" s="55">
        <f>RETAIL!$H$10</f>
        <v>29272570</v>
      </c>
      <c r="K23" s="55">
        <f>RETAIL!$I$10</f>
        <v>29272570</v>
      </c>
      <c r="L23" s="55">
        <f>RETAIL!$J$10</f>
        <v>29272570</v>
      </c>
      <c r="M23" s="55">
        <f>RETAIL!$K$10</f>
        <v>29272570</v>
      </c>
      <c r="N23" s="55">
        <f>RETAIL!$L$10</f>
        <v>0</v>
      </c>
      <c r="O23" s="55">
        <f>RETAIL!$M$10</f>
        <v>0</v>
      </c>
      <c r="P23" s="55">
        <f>RETAIL!$N$10</f>
        <v>29272570</v>
      </c>
      <c r="Q23" s="2" t="s">
        <v>132</v>
      </c>
      <c r="R23" s="2" t="s">
        <v>186</v>
      </c>
    </row>
    <row r="24" spans="1:18" ht="18" customHeight="1" x14ac:dyDescent="0.25">
      <c r="A24" s="20">
        <v>22</v>
      </c>
      <c r="B24" s="73" t="s">
        <v>42</v>
      </c>
      <c r="C24" s="23">
        <f>SHINSHEN!$N$3</f>
        <v>68237266</v>
      </c>
      <c r="D24" s="23">
        <f>SHINSHEN!$B$10</f>
        <v>68237266</v>
      </c>
      <c r="E24" s="23">
        <f>SHINSHEN!$C$10</f>
        <v>68237266</v>
      </c>
      <c r="F24" s="23">
        <f>SHINSHEN!$D$10</f>
        <v>68237266</v>
      </c>
      <c r="G24" s="23">
        <f>SHINSHEN!$E$10</f>
        <v>68237266</v>
      </c>
      <c r="H24" s="23">
        <f>SHINSHEN!$F$10</f>
        <v>68237266</v>
      </c>
      <c r="I24" s="23">
        <f>SHINSHEN!$G$10</f>
        <v>66237266</v>
      </c>
      <c r="J24" s="23">
        <f>SHINSHEN!$H$10</f>
        <v>65237266</v>
      </c>
      <c r="K24" s="23">
        <f>SHINSHEN!$I$10</f>
        <v>64737266</v>
      </c>
      <c r="L24" s="23">
        <f>SHINSHEN!$J$10</f>
        <v>63737266</v>
      </c>
      <c r="M24" s="23">
        <f>SHINSHEN!$K$10</f>
        <v>63237266</v>
      </c>
      <c r="N24" s="23">
        <f>SHINSHEN!$L$10</f>
        <v>0</v>
      </c>
      <c r="O24" s="23">
        <f>SHINSHEN!$M$10</f>
        <v>0</v>
      </c>
      <c r="P24" s="23">
        <f>SHINSHEN!$N$10</f>
        <v>62737266</v>
      </c>
      <c r="Q24" s="2" t="s">
        <v>132</v>
      </c>
      <c r="R24" s="2" t="s">
        <v>186</v>
      </c>
    </row>
    <row r="25" spans="1:18" ht="18" customHeight="1" x14ac:dyDescent="0.25">
      <c r="A25" s="20">
        <v>23</v>
      </c>
      <c r="B25" s="29" t="s">
        <v>50</v>
      </c>
      <c r="C25" s="23">
        <f>FINEMART!$N$3</f>
        <v>0</v>
      </c>
      <c r="D25" s="23">
        <f>FINEMART!$B$10</f>
        <v>2286665</v>
      </c>
      <c r="E25" s="23">
        <f>FINEMART!$C$10</f>
        <v>2286665</v>
      </c>
      <c r="F25" s="23">
        <f>FINEMART!$D$10</f>
        <v>2286665</v>
      </c>
      <c r="G25" s="23">
        <f>FINEMART!$E$10</f>
        <v>6691092</v>
      </c>
      <c r="H25" s="23">
        <f>FINEMART!$F$10</f>
        <v>8551007</v>
      </c>
      <c r="I25" s="23">
        <f>FINEMART!$G$10</f>
        <v>1835837</v>
      </c>
      <c r="J25" s="23">
        <f>FINEMART!$H$10</f>
        <v>3405507</v>
      </c>
      <c r="K25" s="23">
        <f>FINEMART!$I$10</f>
        <v>1445976</v>
      </c>
      <c r="L25" s="23">
        <f>FINEMART!$J$10</f>
        <v>6584720</v>
      </c>
      <c r="M25" s="23">
        <f>FINEMART!$K$10</f>
        <v>7717272</v>
      </c>
      <c r="N25" s="23">
        <f>FINEMART!$L$10</f>
        <v>10445973</v>
      </c>
      <c r="O25" s="23">
        <f>FINEMART!$M$10</f>
        <v>0</v>
      </c>
      <c r="P25" s="23">
        <f>FINEMART!$N$10</f>
        <v>10445973</v>
      </c>
      <c r="Q25" s="2" t="s">
        <v>132</v>
      </c>
      <c r="R25" s="2" t="s">
        <v>186</v>
      </c>
    </row>
    <row r="26" spans="1:18" ht="18.600000000000001" customHeight="1" x14ac:dyDescent="0.25">
      <c r="A26" s="20">
        <v>24</v>
      </c>
      <c r="B26" s="29" t="s">
        <v>52</v>
      </c>
      <c r="C26" s="23">
        <f>GDVN!$N$3</f>
        <v>45110925</v>
      </c>
      <c r="D26" s="23">
        <f>GDVN!$B$10</f>
        <v>11793827</v>
      </c>
      <c r="E26" s="23">
        <f>GDVN!$C$10</f>
        <v>0</v>
      </c>
      <c r="F26" s="23">
        <f>GDVN!$D$10</f>
        <v>8563671</v>
      </c>
      <c r="G26" s="23">
        <f>GDVN!$E$10</f>
        <v>13221106</v>
      </c>
      <c r="H26" s="23">
        <f>GDVN!$F$10</f>
        <v>44065367</v>
      </c>
      <c r="I26" s="23">
        <f>GDVN!$G$10</f>
        <v>37546035</v>
      </c>
      <c r="J26" s="23">
        <f>GDVN!$H$10</f>
        <v>33805672</v>
      </c>
      <c r="K26" s="23">
        <f>GDVN!$I$10</f>
        <v>50191109</v>
      </c>
      <c r="L26" s="23">
        <f>GDVN!$J$10</f>
        <v>31890106</v>
      </c>
      <c r="M26" s="23">
        <f>GDVN!$K$10</f>
        <v>39205868</v>
      </c>
      <c r="N26" s="23">
        <f>GDVN!$L$10</f>
        <v>24467140</v>
      </c>
      <c r="O26" s="23">
        <f>GDVN!$M$10</f>
        <v>32924745</v>
      </c>
      <c r="P26" s="23">
        <f>GDVN!$N$10</f>
        <v>32924745</v>
      </c>
      <c r="Q26" s="2" t="s">
        <v>132</v>
      </c>
      <c r="R26" s="2" t="s">
        <v>186</v>
      </c>
    </row>
    <row r="27" spans="1:18" ht="18" customHeight="1" x14ac:dyDescent="0.25">
      <c r="A27" s="20">
        <v>25</v>
      </c>
      <c r="B27" s="29" t="s">
        <v>60</v>
      </c>
      <c r="C27" s="23">
        <f>'INTIMEX ĐN'!$N$3</f>
        <v>22180976</v>
      </c>
      <c r="D27" s="23">
        <f>'INTIMEX ĐN'!$B$10</f>
        <v>41463638</v>
      </c>
      <c r="E27" s="23">
        <f>'INTIMEX ĐN'!$C$10</f>
        <v>45900425</v>
      </c>
      <c r="F27" s="23">
        <f>'INTIMEX ĐN'!$D$10</f>
        <v>49559643</v>
      </c>
      <c r="G27" s="23">
        <f>'INTIMEX ĐN'!$E$10</f>
        <v>32585899</v>
      </c>
      <c r="H27" s="23">
        <f>'INTIMEX ĐN'!$F$10</f>
        <v>10426645</v>
      </c>
      <c r="I27" s="23">
        <f>'INTIMEX ĐN'!$G$10</f>
        <v>14845071</v>
      </c>
      <c r="J27" s="23">
        <f>'INTIMEX ĐN'!$H$10</f>
        <v>3894048</v>
      </c>
      <c r="K27" s="23">
        <f>'INTIMEX ĐN'!$I$10</f>
        <v>14020913</v>
      </c>
      <c r="L27" s="23">
        <f>'INTIMEX ĐN'!$J$10</f>
        <v>14020913</v>
      </c>
      <c r="M27" s="23">
        <f>'INTIMEX ĐN'!$K$10</f>
        <v>11652434</v>
      </c>
      <c r="N27" s="23">
        <f>'INTIMEX ĐN'!$L$10</f>
        <v>3924499</v>
      </c>
      <c r="O27" s="23">
        <f>'INTIMEX ĐN'!$M$10</f>
        <v>14997792</v>
      </c>
      <c r="P27" s="23">
        <f>'INTIMEX ĐN'!$N$10</f>
        <v>14997792</v>
      </c>
      <c r="Q27" s="2" t="s">
        <v>132</v>
      </c>
      <c r="R27" s="2" t="s">
        <v>186</v>
      </c>
    </row>
    <row r="28" spans="1:18" ht="18" customHeight="1" x14ac:dyDescent="0.25">
      <c r="A28" s="20">
        <v>26</v>
      </c>
      <c r="B28" s="29" t="s">
        <v>133</v>
      </c>
      <c r="C28" s="23">
        <f>'JMART QT'!$N$3</f>
        <v>125528406</v>
      </c>
      <c r="D28" s="23">
        <f>'JMART QT'!$B$10</f>
        <v>56340476</v>
      </c>
      <c r="E28" s="23">
        <f>'JMART QT'!$C$10</f>
        <v>68863755</v>
      </c>
      <c r="F28" s="23">
        <f>'JMART QT'!$D$10</f>
        <v>78304126</v>
      </c>
      <c r="G28" s="23">
        <f>'JMART QT'!$E$10</f>
        <v>92791387</v>
      </c>
      <c r="H28" s="23">
        <f>'JMART QT'!$F$10</f>
        <v>99014703</v>
      </c>
      <c r="I28" s="23">
        <f>'JMART QT'!$G$10</f>
        <v>58648312</v>
      </c>
      <c r="J28" s="23">
        <f>'JMART QT'!$H$10</f>
        <v>42526418</v>
      </c>
      <c r="K28" s="23">
        <f>'JMART QT'!$I$10</f>
        <v>37126450</v>
      </c>
      <c r="L28" s="23">
        <f>'JMART QT'!$J$10</f>
        <v>39074849</v>
      </c>
      <c r="M28" s="23">
        <f>'JMART QT'!$K$10</f>
        <v>26350827</v>
      </c>
      <c r="N28" s="23">
        <f>'JMART QT'!$L$10</f>
        <v>32092314</v>
      </c>
      <c r="O28" s="23">
        <f>'JMART QT'!$M$10</f>
        <v>29407487</v>
      </c>
      <c r="P28" s="23">
        <f>'JMART QT'!$N$10</f>
        <v>29407487</v>
      </c>
      <c r="Q28" s="2" t="s">
        <v>132</v>
      </c>
      <c r="R28" s="2" t="s">
        <v>186</v>
      </c>
    </row>
    <row r="29" spans="1:18" ht="18" customHeight="1" x14ac:dyDescent="0.25">
      <c r="A29" s="20">
        <v>27</v>
      </c>
      <c r="B29" s="29" t="s">
        <v>62</v>
      </c>
      <c r="C29" s="23">
        <f>KINGFOOD!$N$3</f>
        <v>58804973</v>
      </c>
      <c r="D29" s="23">
        <f>KINGFOOD!$B$10</f>
        <v>48279078</v>
      </c>
      <c r="E29" s="23">
        <f>KINGFOOD!$C$10</f>
        <v>95136686</v>
      </c>
      <c r="F29" s="23">
        <f>KINGFOOD!$D$10</f>
        <v>112636148</v>
      </c>
      <c r="G29" s="23">
        <f>KINGFOOD!$E$10</f>
        <v>117864904</v>
      </c>
      <c r="H29" s="23">
        <f>KINGFOOD!$F$10</f>
        <v>73792429</v>
      </c>
      <c r="I29" s="23">
        <f>KINGFOOD!$G$10</f>
        <v>46271490</v>
      </c>
      <c r="J29" s="23">
        <f>KINGFOOD!$H$10</f>
        <v>81453027</v>
      </c>
      <c r="K29" s="23">
        <f>KINGFOOD!$I$10</f>
        <v>105361318</v>
      </c>
      <c r="L29" s="23">
        <f>KINGFOOD!$J$10</f>
        <v>212738619</v>
      </c>
      <c r="M29" s="23">
        <f>KINGFOOD!$K$10</f>
        <v>94142788</v>
      </c>
      <c r="N29" s="23">
        <f>KINGFOOD!$L$10</f>
        <v>134986815</v>
      </c>
      <c r="O29" s="23">
        <f>KINGFOOD!$M$10</f>
        <v>255146343</v>
      </c>
      <c r="P29" s="23">
        <f>KINGFOOD!$N$10</f>
        <v>255146343</v>
      </c>
      <c r="Q29" s="2" t="s">
        <v>132</v>
      </c>
      <c r="R29" s="2" t="s">
        <v>186</v>
      </c>
    </row>
    <row r="30" spans="1:18" ht="18" customHeight="1" x14ac:dyDescent="0.25">
      <c r="A30" s="20">
        <v>28</v>
      </c>
      <c r="B30" s="29" t="s">
        <v>65</v>
      </c>
      <c r="C30" s="23">
        <f>HNT!$N$3</f>
        <v>1865717</v>
      </c>
      <c r="D30" s="23">
        <f>HNT!$B$10</f>
        <v>1498968</v>
      </c>
      <c r="E30" s="23">
        <f>HNT!$C$10</f>
        <v>0</v>
      </c>
      <c r="F30" s="23">
        <f>HNT!$D$10</f>
        <v>529381</v>
      </c>
      <c r="G30" s="23">
        <f>HNT!$E$10</f>
        <v>0</v>
      </c>
      <c r="H30" s="23">
        <f>HNT!$F$10</f>
        <v>0</v>
      </c>
      <c r="I30" s="23">
        <f>HNT!$G$10</f>
        <v>0</v>
      </c>
      <c r="J30" s="23">
        <f>HNT!$H$10</f>
        <v>-459331</v>
      </c>
      <c r="K30" s="23">
        <f>HNT!$I$10</f>
        <v>-1051105</v>
      </c>
      <c r="L30" s="23">
        <f>HNT!$J$10</f>
        <v>0</v>
      </c>
      <c r="M30" s="23">
        <f>HNT!$K$10</f>
        <v>-625215</v>
      </c>
      <c r="N30" s="23">
        <f>HNT!$L$10</f>
        <v>1091665</v>
      </c>
      <c r="O30" s="23">
        <f>HNT!$M$10</f>
        <v>0</v>
      </c>
      <c r="P30" s="23">
        <f>HNT!$N$10</f>
        <v>0</v>
      </c>
      <c r="Q30" s="2" t="s">
        <v>132</v>
      </c>
      <c r="R30" s="2" t="s">
        <v>186</v>
      </c>
    </row>
    <row r="31" spans="1:18" ht="18" customHeight="1" x14ac:dyDescent="0.25">
      <c r="A31" s="20">
        <v>29</v>
      </c>
      <c r="B31" s="29" t="s">
        <v>68</v>
      </c>
      <c r="C31" s="23">
        <f>MEKONG!$N$3</f>
        <v>13834088</v>
      </c>
      <c r="D31" s="23">
        <f>MEKONG!$B$10</f>
        <v>13834088</v>
      </c>
      <c r="E31" s="23">
        <f>MEKONG!$C$10</f>
        <v>16808121</v>
      </c>
      <c r="F31" s="23">
        <f>MEKONG!$D$10</f>
        <v>7484083</v>
      </c>
      <c r="G31" s="23">
        <f>MEKONG!$E$10</f>
        <v>9826312</v>
      </c>
      <c r="H31" s="23">
        <f>MEKONG!$F$10</f>
        <v>15979135</v>
      </c>
      <c r="I31" s="23">
        <f>MEKONG!$G$10</f>
        <v>10842959</v>
      </c>
      <c r="J31" s="23">
        <f>MEKONG!$H$10</f>
        <v>11521731</v>
      </c>
      <c r="K31" s="23">
        <f>MEKONG!$I$10</f>
        <v>14270405</v>
      </c>
      <c r="L31" s="23">
        <f>MEKONG!$J$10</f>
        <v>4920654</v>
      </c>
      <c r="M31" s="23">
        <f>MEKONG!$K$10</f>
        <v>1822282</v>
      </c>
      <c r="N31" s="23">
        <f>MEKONG!$L$10</f>
        <v>5280333</v>
      </c>
      <c r="O31" s="23">
        <f>MEKONG!$M$10</f>
        <v>0</v>
      </c>
      <c r="P31" s="23">
        <f>MEKONG!$N$10</f>
        <v>7312899</v>
      </c>
      <c r="Q31" s="2" t="s">
        <v>132</v>
      </c>
      <c r="R31" s="2" t="s">
        <v>186</v>
      </c>
    </row>
    <row r="32" spans="1:18" ht="18" customHeight="1" x14ac:dyDescent="0.25">
      <c r="A32" s="20">
        <v>30</v>
      </c>
      <c r="B32" s="29" t="s">
        <v>76</v>
      </c>
      <c r="C32" s="23">
        <f>TTMFARM!$N$3</f>
        <v>5509000</v>
      </c>
      <c r="D32" s="23">
        <f>TTMFARM!$B$10</f>
        <v>7667251</v>
      </c>
      <c r="E32" s="23">
        <f>TTMFARM!$C$10</f>
        <v>1667000</v>
      </c>
      <c r="F32" s="23">
        <f>TTMFARM!$D$10</f>
        <v>8690000</v>
      </c>
      <c r="G32" s="23">
        <f>TTMFARM!$E$10</f>
        <v>6724687</v>
      </c>
      <c r="H32" s="23">
        <f>TTMFARM!$F$10</f>
        <v>7821518</v>
      </c>
      <c r="I32" s="23">
        <f>TTMFARM!$G$10</f>
        <v>7608933</v>
      </c>
      <c r="J32" s="23">
        <f>TTMFARM!$H$10</f>
        <v>2461670</v>
      </c>
      <c r="K32" s="23">
        <f>TTMFARM!$I$10</f>
        <v>4616434</v>
      </c>
      <c r="L32" s="23">
        <f>TTMFARM!$J$10</f>
        <v>6272357</v>
      </c>
      <c r="M32" s="23">
        <f>TTMFARM!$K$10</f>
        <v>3439607</v>
      </c>
      <c r="N32" s="23">
        <f>TTMFARM!$L$10</f>
        <v>0</v>
      </c>
      <c r="O32" s="23">
        <f>TTMFARM!$M$10</f>
        <v>0</v>
      </c>
      <c r="P32" s="23">
        <f>TTMFARM!$N$10</f>
        <v>3439607</v>
      </c>
      <c r="Q32" s="2" t="s">
        <v>132</v>
      </c>
      <c r="R32" s="2" t="s">
        <v>186</v>
      </c>
    </row>
    <row r="33" spans="1:19" ht="18" customHeight="1" x14ac:dyDescent="0.25">
      <c r="A33" s="20">
        <v>31</v>
      </c>
      <c r="B33" s="29" t="s">
        <v>172</v>
      </c>
      <c r="C33" s="23">
        <f>TELIO!$N$3</f>
        <v>0</v>
      </c>
      <c r="D33" s="23">
        <f>TELIO!$B$10</f>
        <v>0</v>
      </c>
      <c r="E33" s="23">
        <f>TELIO!$C$10</f>
        <v>0</v>
      </c>
      <c r="F33" s="23">
        <f>TELIO!$D$10</f>
        <v>0</v>
      </c>
      <c r="G33" s="23">
        <f>TELIO!$E$10</f>
        <v>0</v>
      </c>
      <c r="H33" s="23">
        <f>TELIO!$F$10</f>
        <v>0</v>
      </c>
      <c r="I33" s="23">
        <f>TELIO!$G$10</f>
        <v>0</v>
      </c>
      <c r="J33" s="23">
        <f>TELIO!$H$10</f>
        <v>5851855</v>
      </c>
      <c r="K33" s="23">
        <f>TELIO!$I$10</f>
        <v>648472</v>
      </c>
      <c r="L33" s="23">
        <f>TELIO!$J$10</f>
        <v>0</v>
      </c>
      <c r="M33" s="23">
        <f>TELIO!$K$10</f>
        <v>0</v>
      </c>
      <c r="N33" s="23">
        <f>TELIO!$L$10</f>
        <v>0</v>
      </c>
      <c r="O33" s="23">
        <f>TELIO!$M$10</f>
        <v>0</v>
      </c>
      <c r="P33" s="23">
        <f>TELIO!$N$10</f>
        <v>0</v>
      </c>
      <c r="Q33" s="2" t="s">
        <v>132</v>
      </c>
      <c r="R33" s="2" t="s">
        <v>189</v>
      </c>
    </row>
    <row r="34" spans="1:19" ht="18" customHeight="1" x14ac:dyDescent="0.25">
      <c r="A34" s="20">
        <v>32</v>
      </c>
      <c r="B34" s="73" t="s">
        <v>31</v>
      </c>
      <c r="C34" s="23">
        <f>'VIỆT Ý'!$N$3</f>
        <v>78291302</v>
      </c>
      <c r="D34" s="23">
        <f>'VIỆT Ý'!$B$10</f>
        <v>90689483</v>
      </c>
      <c r="E34" s="23">
        <f>'VIỆT Ý'!$C$10</f>
        <v>101331574</v>
      </c>
      <c r="F34" s="23">
        <f>'VIỆT Ý'!$D$10</f>
        <v>105116374</v>
      </c>
      <c r="G34" s="23">
        <f>'VIỆT Ý'!$E$10</f>
        <v>114744061</v>
      </c>
      <c r="H34" s="23">
        <f>'VIỆT Ý'!$F$10</f>
        <v>121066272</v>
      </c>
      <c r="I34" s="23">
        <f>'VIỆT Ý'!$G$10</f>
        <v>105116045</v>
      </c>
      <c r="J34" s="23">
        <f>'VIỆT Ý'!$H$10</f>
        <v>108655170</v>
      </c>
      <c r="K34" s="23">
        <f>'VIỆT Ý'!$I$10</f>
        <v>53967035</v>
      </c>
      <c r="L34" s="23">
        <f>'VIỆT Ý'!$J$10</f>
        <v>53908939</v>
      </c>
      <c r="M34" s="23">
        <f>'VIỆT Ý'!$K$10</f>
        <v>34029021</v>
      </c>
      <c r="N34" s="23">
        <f>'VIỆT Ý'!$L$10</f>
        <v>11669729</v>
      </c>
      <c r="O34" s="23">
        <f>'VIỆT Ý'!$M$10</f>
        <v>0</v>
      </c>
      <c r="P34" s="23">
        <f>'VIỆT Ý'!$N$10</f>
        <v>11669729</v>
      </c>
      <c r="Q34" s="2" t="s">
        <v>132</v>
      </c>
      <c r="R34" s="2" t="s">
        <v>189</v>
      </c>
    </row>
    <row r="35" spans="1:19" ht="18" customHeight="1" x14ac:dyDescent="0.25">
      <c r="A35" s="20">
        <v>33</v>
      </c>
      <c r="B35" s="75" t="s">
        <v>104</v>
      </c>
      <c r="C35" s="23">
        <f>UNIT!$N$3</f>
        <v>47735625</v>
      </c>
      <c r="D35" s="23">
        <f>UNIT!$B$10</f>
        <v>48646345</v>
      </c>
      <c r="E35" s="23">
        <f>UNIT!$C$10</f>
        <v>52720154</v>
      </c>
      <c r="F35" s="23">
        <f>UNIT!$D$10</f>
        <v>58228321</v>
      </c>
      <c r="G35" s="23">
        <f>UNIT!$E$10</f>
        <v>28985934</v>
      </c>
      <c r="H35" s="23">
        <f>UNIT!$F$10</f>
        <v>37622642</v>
      </c>
      <c r="I35" s="23">
        <f>UNIT!$G$10</f>
        <v>46167759</v>
      </c>
      <c r="J35" s="23">
        <f>UNIT!$H$10</f>
        <v>35727417</v>
      </c>
      <c r="K35" s="23">
        <f>UNIT!$I$10</f>
        <v>48751830</v>
      </c>
      <c r="L35" s="23">
        <f>UNIT!$J$10</f>
        <v>52870586</v>
      </c>
      <c r="M35" s="23">
        <f>UNIT!$K$10</f>
        <v>58452807</v>
      </c>
      <c r="N35" s="23">
        <f>UNIT!$L$10</f>
        <v>18172448</v>
      </c>
      <c r="O35" s="23">
        <f>UNIT!$M$10</f>
        <v>0</v>
      </c>
      <c r="P35" s="23">
        <f>UNIT!$N$10</f>
        <v>18172448</v>
      </c>
      <c r="Q35" s="2" t="s">
        <v>132</v>
      </c>
      <c r="R35" s="2" t="s">
        <v>189</v>
      </c>
    </row>
    <row r="36" spans="1:19" ht="18" customHeight="1" x14ac:dyDescent="0.25">
      <c r="A36" s="20">
        <v>34</v>
      </c>
      <c r="B36" s="29" t="s">
        <v>136</v>
      </c>
      <c r="C36" s="23">
        <f>OKONO!$N$3</f>
        <v>0</v>
      </c>
      <c r="D36" s="23">
        <f>OKONO!$B$10</f>
        <v>0</v>
      </c>
      <c r="E36" s="23">
        <f>OKONO!$C$10</f>
        <v>0</v>
      </c>
      <c r="F36" s="23">
        <f>OKONO!$D$10</f>
        <v>0</v>
      </c>
      <c r="G36" s="23">
        <f>OKONO!$E$10</f>
        <v>0</v>
      </c>
      <c r="H36" s="23">
        <f>OKONO!$F$10</f>
        <v>35502083</v>
      </c>
      <c r="I36" s="23">
        <f>OKONO!$G$10</f>
        <v>85073069</v>
      </c>
      <c r="J36" s="23">
        <f>OKONO!$H$10</f>
        <v>93195614.945999995</v>
      </c>
      <c r="K36" s="23">
        <f>OKONO!$I$10</f>
        <v>86026191.94599998</v>
      </c>
      <c r="L36" s="23">
        <f>OKONO!$J$10</f>
        <v>91438825.94599998</v>
      </c>
      <c r="M36" s="23">
        <f>OKONO!$K$10</f>
        <v>131302869.61389998</v>
      </c>
      <c r="N36" s="23">
        <f>OKONO!$L$10</f>
        <v>80015599.613899976</v>
      </c>
      <c r="O36" s="23">
        <f>OKONO!$M$10</f>
        <v>74947071.753899977</v>
      </c>
      <c r="P36" s="23">
        <f>OKONO!$N$10</f>
        <v>74947071.753899992</v>
      </c>
      <c r="Q36" s="2" t="s">
        <v>132</v>
      </c>
      <c r="R36" s="2" t="s">
        <v>189</v>
      </c>
    </row>
    <row r="37" spans="1:19" ht="18" customHeight="1" x14ac:dyDescent="0.25">
      <c r="A37" s="20">
        <v>35</v>
      </c>
      <c r="B37" s="29" t="s">
        <v>175</v>
      </c>
      <c r="C37" s="23">
        <f>KMARKET!$N$3</f>
        <v>0</v>
      </c>
      <c r="D37" s="23">
        <f>KMARKET!$B$10</f>
        <v>0</v>
      </c>
      <c r="E37" s="23">
        <f>KMARKET!$C$10</f>
        <v>0</v>
      </c>
      <c r="F37" s="23">
        <f>KMARKET!$D$10</f>
        <v>0</v>
      </c>
      <c r="G37" s="23">
        <f>KMARKET!$E$10</f>
        <v>0</v>
      </c>
      <c r="H37" s="23">
        <f>KMARKET!$F$10</f>
        <v>0</v>
      </c>
      <c r="I37" s="23">
        <f>KMARKET!$G$10</f>
        <v>0</v>
      </c>
      <c r="J37" s="23">
        <f>KMARKET!$H$10</f>
        <v>628312</v>
      </c>
      <c r="K37" s="23">
        <f>KMARKET!$I$10</f>
        <v>4081978</v>
      </c>
      <c r="L37" s="23">
        <f>KMARKET!$J$10</f>
        <v>7394573.9050000003</v>
      </c>
      <c r="M37" s="23">
        <f>KMARKET!$K$10</f>
        <v>12530666.520000001</v>
      </c>
      <c r="N37" s="23">
        <f>KMARKET!$L$10</f>
        <v>19214342.795000002</v>
      </c>
      <c r="O37" s="23">
        <f>KMARKET!$M$10</f>
        <v>0</v>
      </c>
      <c r="P37" s="23">
        <f>KMARKET!$N$10</f>
        <v>19214342.795000002</v>
      </c>
      <c r="Q37" s="2" t="s">
        <v>132</v>
      </c>
      <c r="R37" s="2" t="s">
        <v>189</v>
      </c>
    </row>
    <row r="38" spans="1:19" ht="18" customHeight="1" x14ac:dyDescent="0.25">
      <c r="A38" s="20">
        <v>36</v>
      </c>
      <c r="B38" s="29" t="s">
        <v>63</v>
      </c>
      <c r="C38" s="23">
        <f>'K&amp;K'!$N$3</f>
        <v>1185000</v>
      </c>
      <c r="D38" s="23">
        <f>'K&amp;K'!$B$10</f>
        <v>1185000</v>
      </c>
      <c r="E38" s="23">
        <f>'K&amp;K'!$C$10</f>
        <v>1185000</v>
      </c>
      <c r="F38" s="23">
        <f>'K&amp;K'!$D$10</f>
        <v>1031076</v>
      </c>
      <c r="G38" s="23">
        <f>'K&amp;K'!$E$10</f>
        <v>1030938</v>
      </c>
      <c r="H38" s="23">
        <f>'K&amp;K'!$F$10</f>
        <v>1030938</v>
      </c>
      <c r="I38" s="23">
        <f>'K&amp;K'!$G$10</f>
        <v>1876470</v>
      </c>
      <c r="J38" s="23">
        <f>'K&amp;K'!$H$10</f>
        <v>1876470</v>
      </c>
      <c r="K38" s="23">
        <f>'K&amp;K'!$I$10</f>
        <v>2043663</v>
      </c>
      <c r="L38" s="23">
        <f>'K&amp;K'!$J$10</f>
        <v>2043663</v>
      </c>
      <c r="M38" s="23">
        <f>'K&amp;K'!$K$10</f>
        <v>576256</v>
      </c>
      <c r="N38" s="23">
        <f>'K&amp;K'!$L$10</f>
        <v>532</v>
      </c>
      <c r="O38" s="23">
        <f>'K&amp;K'!$M$10</f>
        <v>652566</v>
      </c>
      <c r="P38" s="23">
        <f>'K&amp;K'!$N$10</f>
        <v>652566</v>
      </c>
      <c r="Q38" s="2" t="s">
        <v>132</v>
      </c>
      <c r="R38" s="2" t="s">
        <v>188</v>
      </c>
    </row>
    <row r="39" spans="1:19" ht="18" customHeight="1" x14ac:dyDescent="0.25">
      <c r="A39" s="20">
        <v>37</v>
      </c>
      <c r="B39" s="29" t="s">
        <v>18</v>
      </c>
      <c r="C39" s="23">
        <f>BRG!$N$3</f>
        <v>275367893</v>
      </c>
      <c r="D39" s="23">
        <f>BRG!$B$10</f>
        <v>278349984</v>
      </c>
      <c r="E39" s="23">
        <f>BRG!$C$10</f>
        <v>364827522</v>
      </c>
      <c r="F39" s="23">
        <f>BRG!$D$10</f>
        <v>427866369</v>
      </c>
      <c r="G39" s="23">
        <f>BRG!$E$10</f>
        <v>463435176</v>
      </c>
      <c r="H39" s="23">
        <f>BRG!$F$10</f>
        <v>486877047</v>
      </c>
      <c r="I39" s="23">
        <f>BRG!$G$10</f>
        <v>70617846</v>
      </c>
      <c r="J39" s="23">
        <f>BRG!$H$10</f>
        <v>67967216</v>
      </c>
      <c r="K39" s="23">
        <f>BRG!$I$10</f>
        <v>91415680</v>
      </c>
      <c r="L39" s="23">
        <f>BRG!$J$10</f>
        <v>66334423</v>
      </c>
      <c r="M39" s="23">
        <f>BRG!$K$10</f>
        <v>63093187.120000005</v>
      </c>
      <c r="N39" s="23">
        <f>BRG!$L$10</f>
        <v>83817367.120000005</v>
      </c>
      <c r="O39" s="23">
        <f>BRG!$M$10</f>
        <v>112461601.12</v>
      </c>
      <c r="P39" s="23">
        <f>BRG!$N$10</f>
        <v>112461601.11999989</v>
      </c>
      <c r="Q39" s="2" t="s">
        <v>132</v>
      </c>
      <c r="R39" s="2" t="s">
        <v>188</v>
      </c>
      <c r="S39" s="2" t="s">
        <v>191</v>
      </c>
    </row>
    <row r="40" spans="1:19" ht="18" customHeight="1" x14ac:dyDescent="0.25">
      <c r="A40" s="20">
        <v>38</v>
      </c>
      <c r="B40" s="73" t="s">
        <v>27</v>
      </c>
      <c r="C40" s="23">
        <f>DTH!$N$3</f>
        <v>20744943.026000001</v>
      </c>
      <c r="D40" s="23">
        <f>DTH!$B$10</f>
        <v>30077509.026000001</v>
      </c>
      <c r="E40" s="23">
        <f>DTH!$C$10</f>
        <v>6551011.0260000005</v>
      </c>
      <c r="F40" s="23">
        <f>DTH!$D$10</f>
        <v>11716830.026000001</v>
      </c>
      <c r="G40" s="23">
        <f>DTH!$E$10</f>
        <v>17696233.026000001</v>
      </c>
      <c r="H40" s="23">
        <f>DTH!$F$10</f>
        <v>15085289.026000001</v>
      </c>
      <c r="I40" s="23">
        <f>DTH!$G$10</f>
        <v>17817496.026000001</v>
      </c>
      <c r="J40" s="23">
        <f>DTH!$H$10</f>
        <v>48764764.026000001</v>
      </c>
      <c r="K40" s="23">
        <f>DTH!$I$10</f>
        <v>48019402.026000001</v>
      </c>
      <c r="L40" s="23">
        <f>DTH!$J$10</f>
        <v>48019402.026000001</v>
      </c>
      <c r="M40" s="23">
        <f>DTH!$K$10</f>
        <v>48019402.026000001</v>
      </c>
      <c r="N40" s="23">
        <f>DTH!$L$10</f>
        <v>0</v>
      </c>
      <c r="O40" s="23">
        <f>DTH!$M$10</f>
        <v>0</v>
      </c>
      <c r="P40" s="23">
        <f>DTH!$N$10</f>
        <v>48019402.025999993</v>
      </c>
      <c r="Q40" s="2" t="s">
        <v>132</v>
      </c>
      <c r="R40" s="2" t="s">
        <v>188</v>
      </c>
    </row>
    <row r="41" spans="1:19" ht="16.350000000000001" customHeight="1" x14ac:dyDescent="0.25">
      <c r="A41" s="20">
        <v>39</v>
      </c>
      <c r="B41" s="71" t="s">
        <v>28</v>
      </c>
      <c r="C41" s="23">
        <f>TMART!$N$3</f>
        <v>1044161487</v>
      </c>
      <c r="D41" s="23">
        <f>TMART!$B$10</f>
        <v>937194048</v>
      </c>
      <c r="E41" s="23">
        <f>TMART!$C$10</f>
        <v>1005120082</v>
      </c>
      <c r="F41" s="23">
        <f>TMART!$D$10</f>
        <v>1040664191</v>
      </c>
      <c r="G41" s="23">
        <f>TMART!$E$10</f>
        <v>1142149494</v>
      </c>
      <c r="H41" s="23">
        <f>TMART!$F$10</f>
        <v>1124238476</v>
      </c>
      <c r="I41" s="23">
        <f>TMART!$G$10</f>
        <v>886289231</v>
      </c>
      <c r="J41" s="23">
        <f>TMART!$H$10</f>
        <v>805965569</v>
      </c>
      <c r="K41" s="23">
        <f>TMART!$I$10</f>
        <v>481217095</v>
      </c>
      <c r="L41" s="23">
        <f>TMART!$J$10</f>
        <v>453455438</v>
      </c>
      <c r="M41" s="23">
        <f>TMART!$K$10</f>
        <v>483130225</v>
      </c>
      <c r="N41" s="23">
        <f>TMART!$L$10</f>
        <v>404868367</v>
      </c>
      <c r="O41" s="23">
        <f>TMART!$M$10</f>
        <v>26941252</v>
      </c>
      <c r="P41" s="23">
        <f>TMART!$N$10</f>
        <v>26941252</v>
      </c>
      <c r="Q41" s="2" t="s">
        <v>114</v>
      </c>
      <c r="R41" s="2" t="s">
        <v>188</v>
      </c>
    </row>
    <row r="42" spans="1:19" ht="18" customHeight="1" x14ac:dyDescent="0.25">
      <c r="A42" s="20">
        <v>40</v>
      </c>
      <c r="B42" s="29" t="s">
        <v>29</v>
      </c>
      <c r="C42" s="23">
        <f>SIBA!$N$3</f>
        <v>12000169</v>
      </c>
      <c r="D42" s="23">
        <f>SIBA!$B$10</f>
        <v>14129304</v>
      </c>
      <c r="E42" s="23">
        <f>SIBA!$C$10</f>
        <v>3047085</v>
      </c>
      <c r="F42" s="23">
        <f>SIBA!$D$10</f>
        <v>2077107</v>
      </c>
      <c r="G42" s="23">
        <f>SIBA!$E$10</f>
        <v>8513271</v>
      </c>
      <c r="H42" s="23">
        <f>SIBA!$F$10</f>
        <v>4595481</v>
      </c>
      <c r="I42" s="23">
        <f>SIBA!$G$10</f>
        <v>3689568</v>
      </c>
      <c r="J42" s="23">
        <f>SIBA!$H$10</f>
        <v>8687736</v>
      </c>
      <c r="K42" s="23">
        <f>SIBA!$I$10</f>
        <v>7806445</v>
      </c>
      <c r="L42" s="23">
        <f>SIBA!$J$10</f>
        <v>14138189.800000001</v>
      </c>
      <c r="M42" s="23">
        <f>SIBA!$K$10</f>
        <v>9403056.8000000007</v>
      </c>
      <c r="N42" s="23">
        <f>SIBA!$L$10</f>
        <v>0</v>
      </c>
      <c r="O42" s="23">
        <f>SIBA!$M$10</f>
        <v>0</v>
      </c>
      <c r="P42" s="23">
        <f>SIBA!$N$10</f>
        <v>9385077.799999997</v>
      </c>
      <c r="Q42" s="2" t="s">
        <v>132</v>
      </c>
      <c r="R42" s="2" t="s">
        <v>188</v>
      </c>
    </row>
    <row r="43" spans="1:19" ht="18" customHeight="1" x14ac:dyDescent="0.25">
      <c r="A43" s="20">
        <v>41</v>
      </c>
      <c r="B43" s="29" t="s">
        <v>38</v>
      </c>
      <c r="C43" s="23">
        <f>CLEVERFOOD!$N$3</f>
        <v>25339017</v>
      </c>
      <c r="D43" s="23">
        <f>CLEVERFOOD!$B$10</f>
        <v>32181908</v>
      </c>
      <c r="E43" s="23">
        <f>CLEVERFOOD!$C$10</f>
        <v>13618070</v>
      </c>
      <c r="F43" s="23">
        <f>CLEVERFOOD!$D$10</f>
        <v>20223071</v>
      </c>
      <c r="G43" s="23">
        <f>CLEVERFOOD!$E$10</f>
        <v>29204609</v>
      </c>
      <c r="H43" s="23">
        <f>CLEVERFOOD!$F$10</f>
        <v>10816662</v>
      </c>
      <c r="I43" s="23">
        <f>CLEVERFOOD!$G$10</f>
        <v>24014871</v>
      </c>
      <c r="J43" s="23">
        <f>CLEVERFOOD!$H$10</f>
        <v>37126351</v>
      </c>
      <c r="K43" s="23">
        <f>CLEVERFOOD!$I$10</f>
        <v>35597209.960000001</v>
      </c>
      <c r="L43" s="23">
        <f>CLEVERFOOD!$J$10</f>
        <v>31268720.960000001</v>
      </c>
      <c r="M43" s="23">
        <f>CLEVERFOOD!$K$10</f>
        <v>18611031.960000001</v>
      </c>
      <c r="N43" s="23">
        <f>CLEVERFOOD!$L$10</f>
        <v>0</v>
      </c>
      <c r="O43" s="23">
        <f>CLEVERFOOD!$M$10</f>
        <v>0</v>
      </c>
      <c r="P43" s="23">
        <f>CLEVERFOOD!$N$10</f>
        <v>18611031.960000008</v>
      </c>
      <c r="Q43" s="2" t="s">
        <v>132</v>
      </c>
      <c r="R43" s="2" t="s">
        <v>188</v>
      </c>
    </row>
    <row r="44" spans="1:19" ht="18" customHeight="1" x14ac:dyDescent="0.25">
      <c r="A44" s="20">
        <v>42</v>
      </c>
      <c r="B44" s="72" t="s">
        <v>39</v>
      </c>
      <c r="C44" s="23">
        <f>UNO!$N$3</f>
        <v>45671641</v>
      </c>
      <c r="D44" s="23">
        <f>UNO!$B$10</f>
        <v>47434590</v>
      </c>
      <c r="E44" s="23">
        <f>UNO!$C$10</f>
        <v>48602062</v>
      </c>
      <c r="F44" s="23">
        <f>UNO!$D$10</f>
        <v>48602062</v>
      </c>
      <c r="G44" s="23">
        <f>UNO!$E$10</f>
        <v>40459105</v>
      </c>
      <c r="H44" s="23">
        <f>UNO!$F$10</f>
        <v>40459105</v>
      </c>
      <c r="I44" s="23">
        <f>UNO!$G$10</f>
        <v>40459105</v>
      </c>
      <c r="J44" s="23">
        <f>UNO!$H$10</f>
        <v>30459105</v>
      </c>
      <c r="K44" s="23">
        <f>UNO!$I$10</f>
        <v>30459105</v>
      </c>
      <c r="L44" s="23">
        <f>UNO!$J$10</f>
        <v>20459105</v>
      </c>
      <c r="M44" s="23">
        <f>UNO!$K$10</f>
        <v>20459105</v>
      </c>
      <c r="N44" s="23">
        <f>UNO!$L$10</f>
        <v>0</v>
      </c>
      <c r="O44" s="23">
        <f>UNO!$M$10</f>
        <v>0</v>
      </c>
      <c r="P44" s="23">
        <f>UNO!$N$10</f>
        <v>20459105</v>
      </c>
      <c r="Q44" s="2" t="s">
        <v>132</v>
      </c>
      <c r="R44" s="2" t="s">
        <v>188</v>
      </c>
    </row>
    <row r="45" spans="1:19" ht="18" customHeight="1" x14ac:dyDescent="0.25">
      <c r="A45" s="20">
        <v>43</v>
      </c>
      <c r="B45" s="29" t="s">
        <v>103</v>
      </c>
      <c r="C45" s="23">
        <f>SUNSHINE!$N$3</f>
        <v>34828209</v>
      </c>
      <c r="D45" s="23">
        <f>SUNSHINE!$B$10</f>
        <v>38843573</v>
      </c>
      <c r="E45" s="23">
        <f>SUNSHINE!$C$10</f>
        <v>50529890</v>
      </c>
      <c r="F45" s="23">
        <f>SUNSHINE!$D$10</f>
        <v>8319340</v>
      </c>
      <c r="G45" s="23">
        <f>SUNSHINE!$E$10</f>
        <v>22893768</v>
      </c>
      <c r="H45" s="23">
        <f>SUNSHINE!$F$10</f>
        <v>39004637</v>
      </c>
      <c r="I45" s="23">
        <f>SUNSHINE!$G$10</f>
        <v>36782127</v>
      </c>
      <c r="J45" s="23">
        <f>SUNSHINE!$H$10</f>
        <v>43812091</v>
      </c>
      <c r="K45" s="23">
        <f>SUNSHINE!$I$10</f>
        <v>14661774</v>
      </c>
      <c r="L45" s="23">
        <f>SUNSHINE!$J$10</f>
        <v>14119601</v>
      </c>
      <c r="M45" s="23">
        <f>SUNSHINE!$K$10</f>
        <v>11569580</v>
      </c>
      <c r="N45" s="23">
        <f>SUNSHINE!$L$10</f>
        <v>9564096</v>
      </c>
      <c r="O45" s="23">
        <f>SUNSHINE!$M$10</f>
        <v>0</v>
      </c>
      <c r="P45" s="23">
        <f>SUNSHINE!$N$10</f>
        <v>9564096</v>
      </c>
      <c r="Q45" s="2" t="s">
        <v>132</v>
      </c>
      <c r="R45" s="2" t="s">
        <v>188</v>
      </c>
    </row>
    <row r="46" spans="1:19" ht="18" customHeight="1" x14ac:dyDescent="0.25">
      <c r="A46" s="20">
        <v>44</v>
      </c>
      <c r="B46" s="73" t="s">
        <v>43</v>
      </c>
      <c r="C46" s="23">
        <f>'V+ HÒA BÌNH'!$N$3</f>
        <v>11075034</v>
      </c>
      <c r="D46" s="23">
        <f>'V+ HÒA BÌNH'!$B$10</f>
        <v>13465576</v>
      </c>
      <c r="E46" s="23">
        <f>'V+ HÒA BÌNH'!$C$10</f>
        <v>16930955</v>
      </c>
      <c r="F46" s="23">
        <f>'V+ HÒA BÌNH'!$D$10</f>
        <v>16930955</v>
      </c>
      <c r="G46" s="23">
        <f>'V+ HÒA BÌNH'!$E$10</f>
        <v>18062536</v>
      </c>
      <c r="H46" s="23">
        <f>'V+ HÒA BÌNH'!$F$10</f>
        <v>19325972</v>
      </c>
      <c r="I46" s="23">
        <f>'V+ HÒA BÌNH'!$G$10</f>
        <v>19442614</v>
      </c>
      <c r="J46" s="23">
        <f>'V+ HÒA BÌNH'!$H$10</f>
        <v>19442614</v>
      </c>
      <c r="K46" s="23">
        <f>'V+ HÒA BÌNH'!$I$10</f>
        <v>19442614</v>
      </c>
      <c r="L46" s="23">
        <f>'V+ HÒA BÌNH'!$J$10</f>
        <v>8367580</v>
      </c>
      <c r="M46" s="23">
        <f>'V+ HÒA BÌNH'!$K$10</f>
        <v>8367580</v>
      </c>
      <c r="N46" s="23">
        <f>'V+ HÒA BÌNH'!$L$10</f>
        <v>0</v>
      </c>
      <c r="O46" s="23">
        <f>'V+ HÒA BÌNH'!$M$10</f>
        <v>0</v>
      </c>
      <c r="P46" s="23">
        <f>'V+ HÒA BÌNH'!$N$10</f>
        <v>8367580</v>
      </c>
      <c r="Q46" s="2" t="s">
        <v>132</v>
      </c>
      <c r="R46" s="2" t="s">
        <v>188</v>
      </c>
    </row>
    <row r="47" spans="1:19" ht="18" customHeight="1" x14ac:dyDescent="0.25">
      <c r="A47" s="20">
        <v>45</v>
      </c>
      <c r="B47" s="75" t="s">
        <v>46</v>
      </c>
      <c r="C47" s="23">
        <f>EASYMART!$N$3</f>
        <v>70796937.060000002</v>
      </c>
      <c r="D47" s="23">
        <f>EASYMART!$B$10</f>
        <v>76122279.150000006</v>
      </c>
      <c r="E47" s="23">
        <f>EASYMART!$C$10</f>
        <v>86258499.74000001</v>
      </c>
      <c r="F47" s="23">
        <f>EASYMART!$D$10</f>
        <v>93654883.74000001</v>
      </c>
      <c r="G47" s="23">
        <f>EASYMART!$E$10</f>
        <v>105584579.7</v>
      </c>
      <c r="H47" s="23">
        <f>EASYMART!$F$10</f>
        <v>112791382.7</v>
      </c>
      <c r="I47" s="23">
        <f>EASYMART!$G$10</f>
        <v>8117976.700000003</v>
      </c>
      <c r="J47" s="23">
        <f>EASYMART!$H$10</f>
        <v>9354568.700000003</v>
      </c>
      <c r="K47" s="23">
        <f>EASYMART!$I$10</f>
        <v>16681452.700000003</v>
      </c>
      <c r="L47" s="23">
        <f>EASYMART!$J$10</f>
        <v>3078712.700000003</v>
      </c>
      <c r="M47" s="23">
        <f>EASYMART!$K$10</f>
        <v>8910946.700000003</v>
      </c>
      <c r="N47" s="23">
        <f>EASYMART!$L$10</f>
        <v>0</v>
      </c>
      <c r="O47" s="23">
        <f>EASYMART!$M$10</f>
        <v>0</v>
      </c>
      <c r="P47" s="23">
        <f>EASYMART!$N$10</f>
        <v>8910946.6999999881</v>
      </c>
      <c r="Q47" s="2" t="s">
        <v>132</v>
      </c>
      <c r="R47" s="2" t="s">
        <v>188</v>
      </c>
    </row>
    <row r="48" spans="1:19" ht="18" customHeight="1" x14ac:dyDescent="0.25">
      <c r="A48" s="20">
        <v>46</v>
      </c>
      <c r="B48" s="75" t="s">
        <v>54</v>
      </c>
      <c r="C48" s="23">
        <f>GTGL!$N$3</f>
        <v>54465373.600000001</v>
      </c>
      <c r="D48" s="23">
        <f>GTGL!$B$10</f>
        <v>61286046.600000001</v>
      </c>
      <c r="E48" s="23">
        <f>GTGL!$C$10</f>
        <v>68684744.599999994</v>
      </c>
      <c r="F48" s="23">
        <f>GTGL!$D$10</f>
        <v>70161349.289999992</v>
      </c>
      <c r="G48" s="23">
        <f>GTGL!$E$10</f>
        <v>75682132.399999991</v>
      </c>
      <c r="H48" s="23">
        <f>GTGL!$F$10</f>
        <v>78453337.399999991</v>
      </c>
      <c r="I48" s="23">
        <f>GTGL!$G$10</f>
        <v>2739128.3999999911</v>
      </c>
      <c r="J48" s="23">
        <f>GTGL!$H$10</f>
        <v>7354504.3999999911</v>
      </c>
      <c r="K48" s="23">
        <f>GTGL!$I$10</f>
        <v>4769656.3999999911</v>
      </c>
      <c r="L48" s="23">
        <f>GTGL!$J$10</f>
        <v>849437.39999999106</v>
      </c>
      <c r="M48" s="23">
        <f>GTGL!$K$10</f>
        <v>3482965.3999999911</v>
      </c>
      <c r="N48" s="23">
        <f>GTGL!$L$10</f>
        <v>0</v>
      </c>
      <c r="O48" s="23">
        <f>GTGL!$M$10</f>
        <v>0</v>
      </c>
      <c r="P48" s="23">
        <f>GTGL!$N$10</f>
        <v>3482965.3999999911</v>
      </c>
      <c r="Q48" s="2" t="s">
        <v>132</v>
      </c>
      <c r="R48" s="2" t="s">
        <v>188</v>
      </c>
    </row>
    <row r="49" spans="1:18" ht="18" customHeight="1" x14ac:dyDescent="0.25">
      <c r="A49" s="20">
        <v>47</v>
      </c>
      <c r="B49" s="73" t="s">
        <v>56</v>
      </c>
      <c r="C49" s="23">
        <f>HAPPYMART!$N$3</f>
        <v>18052695</v>
      </c>
      <c r="D49" s="23">
        <f>HAPPYMART!$B$10</f>
        <v>21534363</v>
      </c>
      <c r="E49" s="23">
        <f>HAPPYMART!$C$10</f>
        <v>20316768</v>
      </c>
      <c r="F49" s="23">
        <f>HAPPYMART!$D$10</f>
        <v>20858543</v>
      </c>
      <c r="G49" s="23">
        <f>HAPPYMART!$E$10</f>
        <v>20858543</v>
      </c>
      <c r="H49" s="23">
        <f>HAPPYMART!$F$10</f>
        <v>21981728</v>
      </c>
      <c r="I49" s="23">
        <f>HAPPYMART!$G$10</f>
        <v>21981728</v>
      </c>
      <c r="J49" s="23">
        <f>HAPPYMART!$H$10</f>
        <v>21981728</v>
      </c>
      <c r="K49" s="23">
        <f>HAPPYMART!$I$10</f>
        <v>21981728</v>
      </c>
      <c r="L49" s="23">
        <f>HAPPYMART!$J$10</f>
        <v>21981728</v>
      </c>
      <c r="M49" s="23">
        <f>HAPPYMART!$K$10</f>
        <v>21981728</v>
      </c>
      <c r="N49" s="23">
        <f>HAPPYMART!$L$10</f>
        <v>0</v>
      </c>
      <c r="O49" s="23">
        <f>HAPPYMART!$M$10</f>
        <v>0</v>
      </c>
      <c r="P49" s="23">
        <f>HAPPYMART!$N$10</f>
        <v>21981728</v>
      </c>
      <c r="Q49" s="2" t="s">
        <v>132</v>
      </c>
      <c r="R49" s="2" t="s">
        <v>188</v>
      </c>
    </row>
    <row r="50" spans="1:18" ht="18" customHeight="1" x14ac:dyDescent="0.25">
      <c r="A50" s="20">
        <v>48</v>
      </c>
      <c r="B50" s="29" t="s">
        <v>58</v>
      </c>
      <c r="C50" s="23">
        <f>TOMO!$N$3</f>
        <v>3703864</v>
      </c>
      <c r="D50" s="23">
        <f>TOMO!$B$10</f>
        <v>6606868</v>
      </c>
      <c r="E50" s="23">
        <f>TOMO!$C$10</f>
        <v>11145518</v>
      </c>
      <c r="F50" s="23">
        <f>TOMO!$D$10</f>
        <v>1428352</v>
      </c>
      <c r="G50" s="23">
        <f>TOMO!$E$10</f>
        <v>2216160</v>
      </c>
      <c r="H50" s="23">
        <f>TOMO!$F$10</f>
        <v>6039378</v>
      </c>
      <c r="I50" s="23">
        <f>TOMO!$G$10</f>
        <v>1624415</v>
      </c>
      <c r="J50" s="23">
        <f>TOMO!$H$10</f>
        <v>4240804</v>
      </c>
      <c r="K50" s="23">
        <f>TOMO!$I$10</f>
        <v>6859003</v>
      </c>
      <c r="L50" s="23">
        <f>TOMO!$J$10</f>
        <v>10648163</v>
      </c>
      <c r="M50" s="23">
        <f>TOMO!$K$10</f>
        <v>1043845</v>
      </c>
      <c r="N50" s="23">
        <f>TOMO!$L$10</f>
        <v>6765186</v>
      </c>
      <c r="O50" s="23">
        <f>TOMO!$M$10</f>
        <v>9460898</v>
      </c>
      <c r="P50" s="23">
        <f>TOMO!$N$10</f>
        <v>9460898</v>
      </c>
      <c r="Q50" s="2" t="s">
        <v>165</v>
      </c>
      <c r="R50" s="2" t="s">
        <v>188</v>
      </c>
    </row>
    <row r="51" spans="1:18" ht="18" customHeight="1" x14ac:dyDescent="0.25">
      <c r="A51" s="20">
        <v>49</v>
      </c>
      <c r="B51" s="29" t="s">
        <v>66</v>
      </c>
      <c r="C51" s="23">
        <f>LOCAL!$N$3</f>
        <v>16560202</v>
      </c>
      <c r="D51" s="23">
        <f>LOCAL!$B$10</f>
        <v>24028344</v>
      </c>
      <c r="E51" s="23">
        <f>LOCAL!$C$10</f>
        <v>27072413</v>
      </c>
      <c r="F51" s="23">
        <f>LOCAL!$D$10</f>
        <v>29101792</v>
      </c>
      <c r="G51" s="23">
        <f>LOCAL!$E$10</f>
        <v>29101792</v>
      </c>
      <c r="H51" s="23">
        <f>LOCAL!$F$10</f>
        <v>2273707</v>
      </c>
      <c r="I51" s="23">
        <f>LOCAL!$G$10</f>
        <v>3275305</v>
      </c>
      <c r="J51" s="23">
        <f>LOCAL!$H$10</f>
        <v>6165942</v>
      </c>
      <c r="K51" s="23">
        <f>LOCAL!$I$10</f>
        <v>9060936</v>
      </c>
      <c r="L51" s="23">
        <f>LOCAL!$J$10</f>
        <v>9060936</v>
      </c>
      <c r="M51" s="23">
        <f>LOCAL!$K$10</f>
        <v>2646594</v>
      </c>
      <c r="N51" s="23">
        <f>LOCAL!$L$10</f>
        <v>2646594</v>
      </c>
      <c r="O51" s="23">
        <f>LOCAL!$M$10</f>
        <v>5342965</v>
      </c>
      <c r="P51" s="23">
        <f>LOCAL!$N$10</f>
        <v>5342965</v>
      </c>
      <c r="Q51" s="2" t="s">
        <v>132</v>
      </c>
      <c r="R51" s="2" t="s">
        <v>188</v>
      </c>
    </row>
    <row r="52" spans="1:18" ht="18" customHeight="1" x14ac:dyDescent="0.25">
      <c r="A52" s="20">
        <v>50</v>
      </c>
      <c r="B52" s="29" t="s">
        <v>69</v>
      </c>
      <c r="C52" s="23">
        <f>'MINH CẦU'!$N$3</f>
        <v>52632867</v>
      </c>
      <c r="D52" s="23">
        <f>'MINH CẦU'!$B$10</f>
        <v>85130076</v>
      </c>
      <c r="E52" s="23">
        <f>'MINH CẦU'!$C$10</f>
        <v>129511909</v>
      </c>
      <c r="F52" s="23">
        <f>'MINH CẦU'!$D$10</f>
        <v>67941253</v>
      </c>
      <c r="G52" s="23">
        <f>'MINH CẦU'!$E$10</f>
        <v>125073170</v>
      </c>
      <c r="H52" s="23">
        <f>'MINH CẦU'!$F$10</f>
        <v>92474150</v>
      </c>
      <c r="I52" s="23">
        <f>'MINH CẦU'!$G$10</f>
        <v>30063598</v>
      </c>
      <c r="J52" s="23">
        <f>'MINH CẦU'!$H$10</f>
        <v>50908914</v>
      </c>
      <c r="K52" s="23">
        <f>'MINH CẦU'!$I$10</f>
        <v>116468105</v>
      </c>
      <c r="L52" s="23">
        <f>'MINH CẦU'!$J$10</f>
        <v>45429528</v>
      </c>
      <c r="M52" s="23">
        <f>'MINH CẦU'!$K$10</f>
        <v>43603751</v>
      </c>
      <c r="N52" s="23">
        <f>'MINH CẦU'!$L$10</f>
        <v>34936354</v>
      </c>
      <c r="O52" s="23">
        <f>'MINH CẦU'!$M$10</f>
        <v>36015766</v>
      </c>
      <c r="P52" s="23">
        <f>'MINH CẦU'!$N$10</f>
        <v>36015766</v>
      </c>
      <c r="Q52" s="2" t="s">
        <v>114</v>
      </c>
      <c r="R52" s="2" t="s">
        <v>188</v>
      </c>
    </row>
    <row r="53" spans="1:18" ht="18" customHeight="1" x14ac:dyDescent="0.25">
      <c r="A53" s="20">
        <v>51</v>
      </c>
      <c r="B53" s="29" t="s">
        <v>71</v>
      </c>
      <c r="C53" s="23">
        <f>PTMART!$N$3</f>
        <v>25216301</v>
      </c>
      <c r="D53" s="23">
        <f>PTMART!$B$10</f>
        <v>25537516</v>
      </c>
      <c r="E53" s="23">
        <f>PTMART!$C$10</f>
        <v>26791250</v>
      </c>
      <c r="F53" s="23">
        <f>PTMART!$D$10</f>
        <v>28014753.800000001</v>
      </c>
      <c r="G53" s="23">
        <f>PTMART!$E$10</f>
        <v>4226555.6000000015</v>
      </c>
      <c r="H53" s="23">
        <f>PTMART!$F$10</f>
        <v>8239656.1000000015</v>
      </c>
      <c r="I53" s="23">
        <f>PTMART!$G$10</f>
        <v>2985044.1000000015</v>
      </c>
      <c r="J53" s="23">
        <f>PTMART!$H$10</f>
        <v>2048852.1000000015</v>
      </c>
      <c r="K53" s="23">
        <f>PTMART!$I$10</f>
        <v>2607482.1000000015</v>
      </c>
      <c r="L53" s="23">
        <f>PTMART!$J$10</f>
        <v>3000384.1000000015</v>
      </c>
      <c r="M53" s="23">
        <f>PTMART!$K$10</f>
        <v>445874.10000000149</v>
      </c>
      <c r="N53" s="23">
        <f>PTMART!$L$10</f>
        <v>2178801.1000000015</v>
      </c>
      <c r="O53" s="23">
        <f>PTMART!$M$10</f>
        <v>0</v>
      </c>
      <c r="P53" s="23">
        <f>PTMART!$N$10</f>
        <v>2178801.1000000015</v>
      </c>
      <c r="Q53" s="2" t="s">
        <v>114</v>
      </c>
      <c r="R53" s="2" t="s">
        <v>188</v>
      </c>
    </row>
    <row r="54" spans="1:18" ht="18" customHeight="1" x14ac:dyDescent="0.25">
      <c r="A54" s="20">
        <v>52</v>
      </c>
      <c r="B54" s="29" t="s">
        <v>75</v>
      </c>
      <c r="C54" s="23">
        <f>'ANH ĐĂNG TMART'!$N$3</f>
        <v>25476465</v>
      </c>
      <c r="D54" s="23">
        <f>'ANH ĐĂNG TMART'!$B$10</f>
        <v>31201737</v>
      </c>
      <c r="E54" s="23">
        <f>'ANH ĐĂNG TMART'!$C$10</f>
        <v>38722396</v>
      </c>
      <c r="F54" s="23">
        <f>'ANH ĐĂNG TMART'!$D$10</f>
        <v>43923000</v>
      </c>
      <c r="G54" s="23">
        <f>'ANH ĐĂNG TMART'!$E$10</f>
        <v>50211072</v>
      </c>
      <c r="H54" s="23">
        <f>'ANH ĐĂNG TMART'!$F$10</f>
        <v>11833714</v>
      </c>
      <c r="I54" s="23">
        <f>'ANH ĐĂNG TMART'!$G$10</f>
        <v>18808381</v>
      </c>
      <c r="J54" s="23">
        <f>'ANH ĐĂNG TMART'!$H$10</f>
        <v>11345404</v>
      </c>
      <c r="K54" s="23">
        <f>'ANH ĐĂNG TMART'!$I$10</f>
        <v>13972977</v>
      </c>
      <c r="L54" s="23">
        <f>'ANH ĐĂNG TMART'!$J$10</f>
        <v>6228732</v>
      </c>
      <c r="M54" s="23">
        <f>'ANH ĐĂNG TMART'!$K$10</f>
        <v>12176921</v>
      </c>
      <c r="N54" s="23">
        <f>'ANH ĐĂNG TMART'!$L$10</f>
        <v>5948212</v>
      </c>
      <c r="O54" s="23">
        <f>'ANH ĐĂNG TMART'!$M$10</f>
        <v>0</v>
      </c>
      <c r="P54" s="23">
        <f>'ANH ĐĂNG TMART'!$N$10</f>
        <v>5948212</v>
      </c>
      <c r="Q54" s="2" t="s">
        <v>132</v>
      </c>
      <c r="R54" s="2" t="s">
        <v>188</v>
      </c>
    </row>
    <row r="55" spans="1:18" ht="18" customHeight="1" x14ac:dyDescent="0.25">
      <c r="A55" s="20">
        <v>53</v>
      </c>
      <c r="B55" s="76" t="s">
        <v>138</v>
      </c>
      <c r="C55" s="23">
        <f>VITALGO!$N$3</f>
        <v>0</v>
      </c>
      <c r="D55" s="23">
        <f>VITALGO!$B$10</f>
        <v>0</v>
      </c>
      <c r="E55" s="23">
        <f>VITALGO!$C$10</f>
        <v>0</v>
      </c>
      <c r="F55" s="23">
        <f>VITALGO!$D$10</f>
        <v>0</v>
      </c>
      <c r="G55" s="23">
        <f>VITALGO!$E$10</f>
        <v>0</v>
      </c>
      <c r="H55" s="23">
        <f>VITALGO!$F$10</f>
        <v>0</v>
      </c>
      <c r="I55" s="23">
        <f>VITALGO!$G$10</f>
        <v>13671504</v>
      </c>
      <c r="J55" s="23">
        <f>VITALGO!$H$10</f>
        <v>21582569</v>
      </c>
      <c r="K55" s="23">
        <f>VITALGO!$I$10</f>
        <v>6924567</v>
      </c>
      <c r="L55" s="23">
        <f>VITALGO!$J$10</f>
        <v>9505521</v>
      </c>
      <c r="M55" s="23">
        <f>VITALGO!$K$10</f>
        <v>9477332</v>
      </c>
      <c r="N55" s="23">
        <f>VITALGO!$L$10</f>
        <v>12010972</v>
      </c>
      <c r="O55" s="23">
        <f>VITALGO!$M$10</f>
        <v>13480901</v>
      </c>
      <c r="P55" s="23">
        <f>VITALGO!$N$10</f>
        <v>13480901</v>
      </c>
      <c r="Q55" s="2" t="s">
        <v>132</v>
      </c>
      <c r="R55" s="2" t="s">
        <v>188</v>
      </c>
    </row>
    <row r="56" spans="1:18" ht="18" customHeight="1" x14ac:dyDescent="0.25">
      <c r="A56" s="20">
        <v>54</v>
      </c>
      <c r="B56" s="76" t="s">
        <v>183</v>
      </c>
      <c r="C56" s="23">
        <f>TOMITA!$N$3</f>
        <v>0</v>
      </c>
      <c r="D56" s="23">
        <f>TOMITA!$B$10</f>
        <v>0</v>
      </c>
      <c r="E56" s="23">
        <f>TOMITA!$C$10</f>
        <v>0</v>
      </c>
      <c r="F56" s="23">
        <f>TOMITA!$D$10</f>
        <v>0</v>
      </c>
      <c r="G56" s="23">
        <f>TOMITA!$E$10</f>
        <v>1731309</v>
      </c>
      <c r="H56" s="23">
        <f>TOMITA!$F$10</f>
        <v>5587129</v>
      </c>
      <c r="I56" s="23">
        <f>TOMITA!$G$10</f>
        <v>12405834.5</v>
      </c>
      <c r="J56" s="23">
        <f>TOMITA!$H$10</f>
        <v>17940383.5</v>
      </c>
      <c r="K56" s="23">
        <f>TOMITA!$I$10</f>
        <v>29892179</v>
      </c>
      <c r="L56" s="23">
        <f>TOMITA!$J$10</f>
        <v>32654835</v>
      </c>
      <c r="M56" s="23">
        <f>TOMITA!$K$10</f>
        <v>4369732</v>
      </c>
      <c r="N56" s="23">
        <f>TOMITA!$L$10</f>
        <v>7867054</v>
      </c>
      <c r="O56" s="23">
        <f>TOMITA!$M$10</f>
        <v>0</v>
      </c>
      <c r="P56" s="23">
        <f>TOMITA!$N$10</f>
        <v>0</v>
      </c>
      <c r="Q56" s="2" t="s">
        <v>132</v>
      </c>
      <c r="R56" s="2" t="s">
        <v>188</v>
      </c>
    </row>
    <row r="57" spans="1:18" ht="18" customHeight="1" x14ac:dyDescent="0.25">
      <c r="A57" s="20">
        <v>55</v>
      </c>
      <c r="B57" s="76" t="s">
        <v>184</v>
      </c>
      <c r="C57" s="23">
        <f>TOMITA!$N$3</f>
        <v>0</v>
      </c>
      <c r="D57" s="23">
        <f>TERRA!$B$10</f>
        <v>0</v>
      </c>
      <c r="E57" s="23">
        <f>TERRA!$C$10</f>
        <v>0</v>
      </c>
      <c r="F57" s="23">
        <f>TERRA!$D$10</f>
        <v>0</v>
      </c>
      <c r="G57" s="23">
        <f>TERRA!$E$10</f>
        <v>0</v>
      </c>
      <c r="H57" s="23">
        <f>TERRA!$F$10</f>
        <v>0</v>
      </c>
      <c r="I57" s="23">
        <f>TERRA!$G$10</f>
        <v>0</v>
      </c>
      <c r="J57" s="23">
        <f>TERRA!$H$10</f>
        <v>5094183</v>
      </c>
      <c r="K57" s="23">
        <f>TERRA!$I$10</f>
        <v>0</v>
      </c>
      <c r="L57" s="23">
        <f>TERRA!$J$10</f>
        <v>0</v>
      </c>
      <c r="M57" s="23">
        <f>TERRA!$K$10</f>
        <v>1152636</v>
      </c>
      <c r="N57" s="23">
        <f>TERRA!$L$10</f>
        <v>560759</v>
      </c>
      <c r="O57" s="23">
        <f>TERRA!$M$10</f>
        <v>1104505</v>
      </c>
      <c r="P57" s="23">
        <f>TOMITA!$N$10</f>
        <v>0</v>
      </c>
      <c r="Q57" s="2" t="s">
        <v>132</v>
      </c>
      <c r="R57" s="2" t="s">
        <v>188</v>
      </c>
    </row>
    <row r="58" spans="1:18" ht="18" customHeight="1" x14ac:dyDescent="0.25">
      <c r="A58" s="20">
        <v>56</v>
      </c>
      <c r="B58" s="76" t="s">
        <v>195</v>
      </c>
      <c r="C58" s="23">
        <f>DALATFARM!$N$3</f>
        <v>0</v>
      </c>
      <c r="D58" s="23">
        <f>DALATFARM!$B$10</f>
        <v>0</v>
      </c>
      <c r="E58" s="23">
        <f>DALATFARM!$C$10</f>
        <v>0</v>
      </c>
      <c r="F58" s="23">
        <f>DALATFARM!$D$10</f>
        <v>0</v>
      </c>
      <c r="G58" s="23">
        <f>DALATFARM!$E$10</f>
        <v>0</v>
      </c>
      <c r="H58" s="23">
        <f>DALATFARM!$F$10</f>
        <v>0</v>
      </c>
      <c r="I58" s="23">
        <f>DALATFARM!$G$10</f>
        <v>0</v>
      </c>
      <c r="J58" s="23">
        <f>DALATFARM!$H$10</f>
        <v>0</v>
      </c>
      <c r="K58" s="23">
        <f>DALATFARM!$I$10</f>
        <v>0</v>
      </c>
      <c r="L58" s="23">
        <f>DALATFARM!$J$10</f>
        <v>0</v>
      </c>
      <c r="M58" s="23">
        <f>DALATFARM!$K$10</f>
        <v>-1425008</v>
      </c>
      <c r="N58" s="23">
        <f>DALATFARM!$L$10</f>
        <v>0</v>
      </c>
      <c r="O58" s="23">
        <f>DALATFARM!$M$10</f>
        <v>0</v>
      </c>
      <c r="P58" s="23">
        <f>DALATFARM!$N$10</f>
        <v>0</v>
      </c>
      <c r="Q58" s="2" t="s">
        <v>132</v>
      </c>
      <c r="R58" s="2" t="s">
        <v>187</v>
      </c>
    </row>
    <row r="59" spans="1:18" ht="18" customHeight="1" x14ac:dyDescent="0.25">
      <c r="A59" s="82">
        <v>57</v>
      </c>
      <c r="B59" s="76" t="s">
        <v>197</v>
      </c>
      <c r="C59" s="23">
        <f>TOMITA!$N$3</f>
        <v>0</v>
      </c>
      <c r="D59" s="23">
        <f>STTHANHCONG!$B$10</f>
        <v>0</v>
      </c>
      <c r="E59" s="23">
        <f>STTHANHCONG!$C$10</f>
        <v>0</v>
      </c>
      <c r="F59" s="23">
        <f>STTHANHCONG!$D$10</f>
        <v>0</v>
      </c>
      <c r="G59" s="23">
        <f>STTHANHCONG!$E$10</f>
        <v>1409</v>
      </c>
      <c r="H59" s="23">
        <f>STTHANHCONG!$F$10</f>
        <v>1916</v>
      </c>
      <c r="I59" s="23">
        <f>STTHANHCONG!$G$10</f>
        <v>2749</v>
      </c>
      <c r="J59" s="23">
        <f>STTHANHCONG!$H$10</f>
        <v>2749</v>
      </c>
      <c r="K59" s="23">
        <f>STTHANHCONG!$I$10</f>
        <v>3304097</v>
      </c>
      <c r="L59" s="23">
        <f>STTHANHCONG!$J$10</f>
        <v>2749</v>
      </c>
      <c r="M59" s="23">
        <f>STTHANHCONG!$K$10</f>
        <v>3604782</v>
      </c>
      <c r="N59" s="23">
        <f>STTHANHCONG!$L$10</f>
        <v>3259</v>
      </c>
      <c r="O59" s="23">
        <f>STTHANHCONG!$M$10</f>
        <v>4659</v>
      </c>
      <c r="P59" s="23">
        <f>STTHANHCONG!$N$10</f>
        <v>4659</v>
      </c>
      <c r="Q59" s="2" t="s">
        <v>132</v>
      </c>
      <c r="R59" s="2" t="s">
        <v>188</v>
      </c>
    </row>
    <row r="60" spans="1:18" ht="18" customHeight="1" x14ac:dyDescent="0.25">
      <c r="A60" s="82">
        <v>58</v>
      </c>
      <c r="B60" s="76" t="s">
        <v>203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8" s="21" customFormat="1" ht="22.5" customHeight="1" x14ac:dyDescent="0.25">
      <c r="A61" s="98" t="s">
        <v>93</v>
      </c>
      <c r="B61" s="99"/>
      <c r="C61" s="24">
        <f t="shared" ref="C61:M61" si="0">SUM(C3:C57)</f>
        <v>32603640046.686001</v>
      </c>
      <c r="D61" s="24">
        <f t="shared" si="0"/>
        <v>29794171075.976002</v>
      </c>
      <c r="E61" s="24">
        <f t="shared" si="0"/>
        <v>28754535191.125999</v>
      </c>
      <c r="F61" s="24">
        <f t="shared" si="0"/>
        <v>29651445364.166004</v>
      </c>
      <c r="G61" s="24">
        <f t="shared" si="0"/>
        <v>26169327473.906002</v>
      </c>
      <c r="H61" s="24">
        <f t="shared" si="0"/>
        <v>26914700495.156002</v>
      </c>
      <c r="I61" s="24">
        <f t="shared" si="0"/>
        <v>25263391187.446003</v>
      </c>
      <c r="J61" s="24">
        <f t="shared" si="0"/>
        <v>20952147834.692001</v>
      </c>
      <c r="K61" s="24">
        <f t="shared" si="0"/>
        <v>21849759005.767601</v>
      </c>
      <c r="L61" s="24">
        <f t="shared" si="0"/>
        <v>22066750538.812599</v>
      </c>
      <c r="M61" s="24">
        <f t="shared" si="0"/>
        <v>18111630867.059502</v>
      </c>
      <c r="N61" s="24">
        <f>SUM(N2:N48)</f>
        <v>18858781547.768497</v>
      </c>
      <c r="O61" s="24">
        <f>SUM(O2:O48)</f>
        <v>15513169530.413502</v>
      </c>
      <c r="P61" s="24">
        <f>SUM(P3:P53)</f>
        <v>17405905601.894501</v>
      </c>
      <c r="Q61" s="2"/>
    </row>
  </sheetData>
  <autoFilter ref="A2:S2"/>
  <mergeCells count="2">
    <mergeCell ref="A1:P1"/>
    <mergeCell ref="A61:B61"/>
  </mergeCells>
  <hyperlinks>
    <hyperlink ref="B3" location="WIN!A1" display="WINCOMMERCE"/>
    <hyperlink ref="B4" location="CIRCLEK!A1" display="CircleK"/>
    <hyperlink ref="B5" location="BIGC!A1" display="EB - BIGC"/>
    <hyperlink ref="B6" location="LOTTE!A1" display="LOTTE"/>
    <hyperlink ref="B7" location="MEGA!A1" display="MEGA"/>
    <hyperlink ref="B8" location="'SÀNH ĐIỆU'!A1" display="SÀNH ĐIỆU"/>
    <hyperlink ref="B9" location="AEON!A1" display="ĐÔNG HƯNG (AEON)"/>
    <hyperlink ref="B10" location="COOP!A1" display="COOP"/>
    <hyperlink ref="B11" location="'GS25'!A1" display="GS25"/>
    <hyperlink ref="B21" location="SAIGONHD!A1" display="SÀI GÒN HD"/>
    <hyperlink ref="B20" location="SEVEN!A1" display="SEVEN"/>
    <hyperlink ref="B19" location="NOVA!A1" display="NOVA"/>
    <hyperlink ref="B18" location="LARIA!A1" display="LARIA"/>
    <hyperlink ref="B17" location="'VIỆT Ý NT'!A1" display="VIỆT Ý NHA TRANG"/>
    <hyperlink ref="B16" location="NHATMINH!A1" display="NHẬT MINH"/>
    <hyperlink ref="B15" location="'SATRA-027'!A1" display="SATRA CỦ CHI"/>
    <hyperlink ref="B14" location="'SATRA-025'!A1" display="TT ĐIỀU HÀNH SATRAFOOD"/>
    <hyperlink ref="B13" location="'SATRA-020'!A1" display="SATRA ĐƯỜNG PHẠM HÙNG"/>
    <hyperlink ref="B12" location="'SATRA-004'!A1" display="SATRA - SIÊU THỊ SÀI GÒN"/>
    <hyperlink ref="B33" location="TELIO!A1" display="TELIO"/>
    <hyperlink ref="B31" location="MEKONG!A1" display="MEKONG GOURMET"/>
    <hyperlink ref="B30" location="HNT!A1" display="KHẢI SAN - HNT"/>
    <hyperlink ref="B38" location="'K&amp;K'!A1" display="K&amp;K"/>
    <hyperlink ref="B29" location="KINGFOOD!A1" display="KING FOOD"/>
    <hyperlink ref="B28" location="'JMART QT'!A1" display="JMART QUỐC TẾT"/>
    <hyperlink ref="B27" location="'INTIMEX ĐN'!A1" display="INTIMEX ĐÀ NẴNG"/>
    <hyperlink ref="B25" location="FINEMART!A1" display="FINEMART"/>
    <hyperlink ref="B24" location="SHINSHEN!A1" display="SHINSEN GROUP"/>
    <hyperlink ref="B23" location="RETAIL!A1" display="RETAIL"/>
    <hyperlink ref="B22" location="USMART!A1" display="USMART"/>
    <hyperlink ref="B39" location="BRG!A1" display="BRG"/>
    <hyperlink ref="B40" location="DTH!A1" display="ĐẠI THANH HẢI"/>
    <hyperlink ref="B41" location="TMART!A1" display="T - MARTSTORES"/>
    <hyperlink ref="B42" location="SIBA!A1" display="SIBA FOOD"/>
    <hyperlink ref="B34" location="'VIỆT Ý'!A1" display="VIỆT Ý HÀ NỘI"/>
    <hyperlink ref="B44" location="UNO!A1" display="UNO"/>
    <hyperlink ref="B43" location="CLEVERFOOD!A1" display="CLEVERFOOD"/>
    <hyperlink ref="B35" location="UNIT!A1" display="UNIT"/>
    <hyperlink ref="B47" location="EASYMART!A1" display="EASYMART"/>
    <hyperlink ref="B46" location="'V+ HÒA BÌNH'!A1" display="V+HÒA BÌNH"/>
    <hyperlink ref="B45" location="SUNSHINE!A1" display="SMART - SUNSHINE"/>
    <hyperlink ref="B50" location="TOMO!A1" display="HTL - TOMO"/>
    <hyperlink ref="B49" location="HAPPYMART!A1" display="HAPPYMART"/>
    <hyperlink ref="B48" location="GTGL!A1" display="GTGL"/>
    <hyperlink ref="B51" location="LOCAL!A1" display="LOCALMART"/>
    <hyperlink ref="B54" location="'ANH ĐĂNG TMART'!A1" display="ANH ĐĂNG TMART"/>
    <hyperlink ref="B53" location="PTMART!A1" display="PTMART"/>
    <hyperlink ref="B52" location="'MINH CẦU'!A1" display="MINH CẦU"/>
    <hyperlink ref="B55" location="VITALGO!A1" display="VITALGO"/>
    <hyperlink ref="B36" location="OKONO!A1" display="OKONO"/>
    <hyperlink ref="B56" location="TOMITA!A1" display="TOMITA"/>
    <hyperlink ref="B37" location="KMARKET!A1" display="KMARKET"/>
    <hyperlink ref="B57" location="TERRA!A1" display="TERRA"/>
    <hyperlink ref="B26" location="GDVN!A1" display="GIA ĐÌNH VIỆT NAM"/>
    <hyperlink ref="B32" location="TTMFARM!A1" display="TTMFARM"/>
    <hyperlink ref="B58" location="DALATFARM!A1" display="DALATFARM"/>
    <hyperlink ref="B59" location="STTHANHCONG!A1" display="STTHANHCONG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M5" sqref="M5"/>
    </sheetView>
  </sheetViews>
  <sheetFormatPr defaultColWidth="9.140625" defaultRowHeight="15" x14ac:dyDescent="0.25"/>
  <cols>
    <col min="1" max="1" width="16.7109375" style="34" customWidth="1"/>
    <col min="2" max="13" width="15.7109375" style="34" customWidth="1"/>
    <col min="14" max="14" width="15.42578125" style="34" customWidth="1"/>
    <col min="15" max="16" width="9.140625" style="2"/>
    <col min="17" max="17" width="12.28515625" style="2" bestFit="1" customWidth="1"/>
    <col min="18" max="16384" width="9.140625" style="2"/>
  </cols>
  <sheetData>
    <row r="1" spans="1:17" ht="15.75" x14ac:dyDescent="0.25">
      <c r="L1" s="102" t="s">
        <v>109</v>
      </c>
      <c r="M1" s="102"/>
      <c r="N1" s="102"/>
    </row>
    <row r="2" spans="1:17" ht="18.75" x14ac:dyDescent="0.25">
      <c r="B2" s="101" t="s">
        <v>113</v>
      </c>
      <c r="C2" s="101"/>
      <c r="D2" s="101"/>
      <c r="E2" s="101"/>
      <c r="F2" s="101"/>
    </row>
    <row r="3" spans="1:17" ht="28.5" x14ac:dyDescent="0.25">
      <c r="B3" s="34" t="s">
        <v>102</v>
      </c>
      <c r="M3" s="35" t="s">
        <v>100</v>
      </c>
      <c r="N3" s="36">
        <v>1309857388</v>
      </c>
      <c r="Q3" s="61"/>
    </row>
    <row r="4" spans="1:17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7" x14ac:dyDescent="0.25">
      <c r="A5" s="37" t="s">
        <v>94</v>
      </c>
      <c r="B5" s="57">
        <v>699842966</v>
      </c>
      <c r="C5" s="57">
        <v>435079729</v>
      </c>
      <c r="D5" s="57">
        <v>440235386</v>
      </c>
      <c r="E5" s="57">
        <v>548217063</v>
      </c>
      <c r="F5" s="57">
        <v>321613822</v>
      </c>
      <c r="G5" s="57">
        <v>422768488</v>
      </c>
      <c r="H5" s="38">
        <v>25588204</v>
      </c>
      <c r="I5" s="38">
        <v>611716762</v>
      </c>
      <c r="J5" s="38">
        <v>346618101</v>
      </c>
      <c r="K5" s="38">
        <v>467694313</v>
      </c>
      <c r="L5" s="38">
        <v>480186315</v>
      </c>
      <c r="M5" s="38">
        <v>581476302</v>
      </c>
      <c r="N5" s="39">
        <f>SUM(B5:M5)</f>
        <v>5381037451</v>
      </c>
    </row>
    <row r="6" spans="1:17" x14ac:dyDescent="0.25">
      <c r="A6" s="37" t="s">
        <v>95</v>
      </c>
      <c r="B6" s="57">
        <v>1421653</v>
      </c>
      <c r="C6" s="57">
        <v>5214425</v>
      </c>
      <c r="D6" s="57">
        <v>3851695</v>
      </c>
      <c r="E6" s="57">
        <v>3420551</v>
      </c>
      <c r="F6" s="57">
        <v>12583083</v>
      </c>
      <c r="G6" s="57">
        <v>7074971</v>
      </c>
      <c r="H6" s="38">
        <v>6678233</v>
      </c>
      <c r="I6" s="38">
        <v>5822520</v>
      </c>
      <c r="J6" s="38">
        <v>14318709</v>
      </c>
      <c r="K6" s="38">
        <v>5539320</v>
      </c>
      <c r="L6" s="38">
        <v>9487487</v>
      </c>
      <c r="M6" s="40">
        <v>5514146</v>
      </c>
      <c r="N6" s="39">
        <f t="shared" ref="N6:N9" si="0">SUM(B6:M6)</f>
        <v>80926793</v>
      </c>
    </row>
    <row r="7" spans="1:17" x14ac:dyDescent="0.25">
      <c r="A7" s="37" t="s">
        <v>96</v>
      </c>
      <c r="B7" s="57">
        <v>107902253</v>
      </c>
      <c r="C7" s="57">
        <v>118807968</v>
      </c>
      <c r="D7" s="57">
        <v>74149807</v>
      </c>
      <c r="E7" s="57">
        <v>76885842</v>
      </c>
      <c r="F7" s="57">
        <v>94873559</v>
      </c>
      <c r="G7" s="57">
        <v>65323411</v>
      </c>
      <c r="H7" s="38">
        <v>95004902</v>
      </c>
      <c r="I7" s="38">
        <v>85802464</v>
      </c>
      <c r="J7" s="38">
        <v>132281121</v>
      </c>
      <c r="K7" s="38">
        <v>67080381</v>
      </c>
      <c r="L7" s="38">
        <v>95989616</v>
      </c>
      <c r="M7" s="40">
        <v>113483916</v>
      </c>
      <c r="N7" s="39">
        <f t="shared" si="0"/>
        <v>1127585240</v>
      </c>
    </row>
    <row r="8" spans="1:17" x14ac:dyDescent="0.25">
      <c r="A8" s="37" t="s">
        <v>97</v>
      </c>
      <c r="B8" s="57"/>
      <c r="C8" s="57"/>
      <c r="D8" s="57"/>
      <c r="E8" s="57"/>
      <c r="F8" s="57"/>
      <c r="G8" s="57"/>
      <c r="H8" s="38"/>
      <c r="I8" s="38"/>
      <c r="J8" s="38"/>
      <c r="K8" s="38"/>
      <c r="L8" s="38"/>
      <c r="M8" s="40"/>
      <c r="N8" s="39">
        <f t="shared" si="0"/>
        <v>0</v>
      </c>
    </row>
    <row r="9" spans="1:17" x14ac:dyDescent="0.25">
      <c r="A9" s="37" t="s">
        <v>98</v>
      </c>
      <c r="B9" s="57">
        <v>463269038</v>
      </c>
      <c r="C9" s="57">
        <v>402623650</v>
      </c>
      <c r="D9" s="57">
        <v>531142749</v>
      </c>
      <c r="E9" s="57">
        <v>375194717</v>
      </c>
      <c r="F9" s="57">
        <v>317446741</v>
      </c>
      <c r="G9" s="57">
        <f>263356808+158588944</f>
        <v>421945752</v>
      </c>
      <c r="H9" s="38">
        <v>328401363</v>
      </c>
      <c r="I9" s="38">
        <v>341803153</v>
      </c>
      <c r="J9" s="38">
        <v>367607988</v>
      </c>
      <c r="K9" s="38">
        <v>396048571</v>
      </c>
      <c r="L9" s="38">
        <v>271477174</v>
      </c>
      <c r="M9" s="38">
        <v>318934636</v>
      </c>
      <c r="N9" s="39">
        <f t="shared" si="0"/>
        <v>4535895532</v>
      </c>
    </row>
    <row r="10" spans="1:17" s="21" customFormat="1" ht="14.25" x14ac:dyDescent="0.25">
      <c r="A10" s="41" t="s">
        <v>99</v>
      </c>
      <c r="B10" s="42">
        <f>N3+B5-B6-B7-B8-B9</f>
        <v>1437107410</v>
      </c>
      <c r="C10" s="42">
        <f>B10+C5-C6-C7-C8-C9</f>
        <v>1345541096</v>
      </c>
      <c r="D10" s="42">
        <f t="shared" ref="D10:M10" si="1">C10+D5-D6-D7-D8-D9</f>
        <v>1176632231</v>
      </c>
      <c r="E10" s="42">
        <f t="shared" si="1"/>
        <v>1269348184</v>
      </c>
      <c r="F10" s="42">
        <f t="shared" si="1"/>
        <v>1166058623</v>
      </c>
      <c r="G10" s="42">
        <f t="shared" si="1"/>
        <v>1094482977</v>
      </c>
      <c r="H10" s="42">
        <f t="shared" si="1"/>
        <v>689986683</v>
      </c>
      <c r="I10" s="42">
        <f t="shared" si="1"/>
        <v>868275308</v>
      </c>
      <c r="J10" s="42">
        <f t="shared" si="1"/>
        <v>700685591</v>
      </c>
      <c r="K10" s="42">
        <f t="shared" si="1"/>
        <v>699711632</v>
      </c>
      <c r="L10" s="42">
        <f t="shared" si="1"/>
        <v>802943670</v>
      </c>
      <c r="M10" s="42">
        <f t="shared" si="1"/>
        <v>946487274</v>
      </c>
      <c r="N10" s="39">
        <f>N3+N5-N6-N7-N8-N9</f>
        <v>946487274</v>
      </c>
    </row>
    <row r="13" spans="1:17" x14ac:dyDescent="0.25">
      <c r="K13" s="69"/>
    </row>
    <row r="14" spans="1:17" x14ac:dyDescent="0.25">
      <c r="J14" s="69"/>
    </row>
    <row r="26" spans="7:7" x14ac:dyDescent="0.25">
      <c r="G26" s="43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5.42578125" style="5" customWidth="1"/>
    <col min="2" max="2" width="13.5703125" style="5" customWidth="1"/>
    <col min="3" max="3" width="14.7109375" style="5" customWidth="1"/>
    <col min="4" max="4" width="14.5703125" style="5" customWidth="1"/>
    <col min="5" max="13" width="15.85546875" style="5" customWidth="1"/>
    <col min="14" max="14" width="15.42578125" style="5" customWidth="1"/>
    <col min="15" max="15" width="11.28515625" style="1" bestFit="1" customWidth="1"/>
    <col min="16" max="16384" width="9.140625" style="1"/>
  </cols>
  <sheetData>
    <row r="1" spans="1:15" ht="15.75" x14ac:dyDescent="0.25">
      <c r="L1" s="100" t="s">
        <v>109</v>
      </c>
      <c r="M1" s="100"/>
      <c r="N1" s="100"/>
    </row>
    <row r="2" spans="1:15" ht="18.75" x14ac:dyDescent="0.25">
      <c r="B2" s="101" t="s">
        <v>21</v>
      </c>
      <c r="C2" s="101"/>
      <c r="D2" s="101"/>
      <c r="E2" s="101"/>
      <c r="F2" s="101"/>
    </row>
    <row r="3" spans="1:15" ht="29.25" x14ac:dyDescent="0.25">
      <c r="B3" s="5" t="s">
        <v>102</v>
      </c>
      <c r="M3" s="6" t="s">
        <v>100</v>
      </c>
      <c r="N3" s="7">
        <v>447660671</v>
      </c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>
        <v>88439543</v>
      </c>
      <c r="C5" s="12">
        <v>90454123</v>
      </c>
      <c r="D5" s="12">
        <v>103739028</v>
      </c>
      <c r="E5" s="12">
        <v>42158639</v>
      </c>
      <c r="F5" s="12">
        <v>45659475</v>
      </c>
      <c r="G5" s="12">
        <v>54425321</v>
      </c>
      <c r="H5" s="12">
        <v>84561838</v>
      </c>
      <c r="I5" s="12">
        <v>113645441</v>
      </c>
      <c r="J5" s="12">
        <v>83696856</v>
      </c>
      <c r="K5" s="12">
        <v>78609355</v>
      </c>
      <c r="L5" s="12">
        <v>78379471</v>
      </c>
      <c r="M5" s="12">
        <v>87282864</v>
      </c>
      <c r="N5" s="13">
        <f>SUM(B5:M5)</f>
        <v>951051954</v>
      </c>
    </row>
    <row r="6" spans="1:15" x14ac:dyDescent="0.25">
      <c r="A6" s="11" t="s">
        <v>95</v>
      </c>
      <c r="B6" s="12"/>
      <c r="C6" s="12">
        <v>2334357</v>
      </c>
      <c r="D6" s="12">
        <v>3434218</v>
      </c>
      <c r="E6" s="12">
        <v>11919116</v>
      </c>
      <c r="F6" s="12">
        <v>11028062</v>
      </c>
      <c r="G6" s="12">
        <v>3650254</v>
      </c>
      <c r="H6" s="12"/>
      <c r="I6" s="12"/>
      <c r="J6" s="12">
        <v>855147</v>
      </c>
      <c r="K6" s="12"/>
      <c r="L6" s="12">
        <v>3733373</v>
      </c>
      <c r="M6" s="14">
        <v>1443811</v>
      </c>
      <c r="N6" s="13">
        <f t="shared" ref="N6:N9" si="0">SUM(B6:M6)</f>
        <v>38398338</v>
      </c>
    </row>
    <row r="7" spans="1:15" ht="15.75" x14ac:dyDescent="0.25">
      <c r="A7" s="11" t="s">
        <v>96</v>
      </c>
      <c r="B7" s="12"/>
      <c r="C7" s="12"/>
      <c r="D7" s="12">
        <v>16611849</v>
      </c>
      <c r="E7" s="12"/>
      <c r="F7" s="12"/>
      <c r="G7" s="12"/>
      <c r="H7" s="12">
        <v>2007672</v>
      </c>
      <c r="I7" s="54">
        <v>3469381</v>
      </c>
      <c r="J7" s="12"/>
      <c r="K7" s="12"/>
      <c r="L7" s="12">
        <v>8431936</v>
      </c>
      <c r="M7" s="14"/>
      <c r="N7" s="13">
        <f>SUM(B7:M7)</f>
        <v>30520838</v>
      </c>
    </row>
    <row r="8" spans="1:15" x14ac:dyDescent="0.25">
      <c r="A8" s="11" t="s">
        <v>147</v>
      </c>
      <c r="B8" s="12"/>
      <c r="C8" s="12"/>
      <c r="D8" s="12">
        <v>8305924</v>
      </c>
      <c r="E8" s="12"/>
      <c r="F8" s="12"/>
      <c r="G8" s="12"/>
      <c r="H8" s="12"/>
      <c r="I8" s="12">
        <v>14788963</v>
      </c>
      <c r="J8" s="12"/>
      <c r="K8" s="12"/>
      <c r="L8" s="12">
        <v>22485161.52</v>
      </c>
      <c r="M8" s="14">
        <v>21600000</v>
      </c>
      <c r="N8" s="13">
        <f t="shared" si="0"/>
        <v>67180048.519999996</v>
      </c>
    </row>
    <row r="9" spans="1:15" x14ac:dyDescent="0.25">
      <c r="A9" s="11" t="s">
        <v>98</v>
      </c>
      <c r="B9" s="12"/>
      <c r="C9" s="12">
        <v>247600716</v>
      </c>
      <c r="D9" s="12"/>
      <c r="E9" s="12"/>
      <c r="F9" s="12"/>
      <c r="G9" s="12"/>
      <c r="H9" s="12">
        <v>301678437</v>
      </c>
      <c r="I9" s="12">
        <v>244637730</v>
      </c>
      <c r="J9" s="12"/>
      <c r="K9" s="12">
        <v>159764319</v>
      </c>
      <c r="L9" s="12">
        <v>119424368</v>
      </c>
      <c r="M9" s="12">
        <v>37042715</v>
      </c>
      <c r="N9" s="13">
        <f t="shared" si="0"/>
        <v>1110148285</v>
      </c>
    </row>
    <row r="10" spans="1:15" s="17" customFormat="1" ht="14.25" x14ac:dyDescent="0.2">
      <c r="A10" s="15" t="s">
        <v>99</v>
      </c>
      <c r="B10" s="16">
        <f>N3+B5-B6-B7-B8-B9</f>
        <v>536100214</v>
      </c>
      <c r="C10" s="16">
        <f>B10+C5-C6-C7-C8-C9</f>
        <v>376619264</v>
      </c>
      <c r="D10" s="16">
        <f t="shared" ref="D10:K10" si="1">C10+D5-D6-D7-D8-D9</f>
        <v>452006301</v>
      </c>
      <c r="E10" s="16">
        <f t="shared" si="1"/>
        <v>482245824</v>
      </c>
      <c r="F10" s="16">
        <f t="shared" si="1"/>
        <v>516877237</v>
      </c>
      <c r="G10" s="16">
        <f t="shared" si="1"/>
        <v>567652304</v>
      </c>
      <c r="H10" s="16">
        <f t="shared" si="1"/>
        <v>348528033</v>
      </c>
      <c r="I10" s="16">
        <f t="shared" si="1"/>
        <v>199277400</v>
      </c>
      <c r="J10" s="16">
        <f t="shared" si="1"/>
        <v>282119109</v>
      </c>
      <c r="K10" s="16">
        <f t="shared" si="1"/>
        <v>200964145</v>
      </c>
      <c r="L10" s="16">
        <f>K10+L5-L6-L7-L8-L9</f>
        <v>125268777.47999999</v>
      </c>
      <c r="M10" s="16">
        <f>L10+M5-M6-M7-M8-M9</f>
        <v>152465115.47999999</v>
      </c>
      <c r="N10" s="13">
        <f>N3+N5-N6-N7-N8-N9</f>
        <v>152465115.48000002</v>
      </c>
    </row>
    <row r="11" spans="1:15" ht="30" customHeight="1" x14ac:dyDescent="0.25">
      <c r="D11" s="5" t="s">
        <v>148</v>
      </c>
      <c r="H11" s="5" t="s">
        <v>167</v>
      </c>
      <c r="L11" s="5" t="s">
        <v>210</v>
      </c>
      <c r="M11" s="5" t="s">
        <v>211</v>
      </c>
    </row>
    <row r="12" spans="1:15" x14ac:dyDescent="0.25">
      <c r="B12" s="30"/>
    </row>
    <row r="13" spans="1:15" x14ac:dyDescent="0.25">
      <c r="O13" s="60"/>
    </row>
    <row r="14" spans="1:15" x14ac:dyDescent="0.25">
      <c r="B14" s="1" t="s">
        <v>164</v>
      </c>
    </row>
    <row r="20" spans="7:7" x14ac:dyDescent="0.25">
      <c r="G20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5" width="10" style="1" bestFit="1" customWidth="1"/>
    <col min="16" max="16" width="12.28515625" style="1" bestFit="1" customWidth="1"/>
    <col min="17" max="16384" width="9.140625" style="1"/>
  </cols>
  <sheetData>
    <row r="1" spans="1:16" ht="15.75" x14ac:dyDescent="0.25">
      <c r="L1" s="100" t="s">
        <v>109</v>
      </c>
      <c r="M1" s="100"/>
      <c r="N1" s="100"/>
    </row>
    <row r="2" spans="1:16" ht="18.75" x14ac:dyDescent="0.25">
      <c r="B2" s="101" t="s">
        <v>22</v>
      </c>
      <c r="C2" s="101"/>
      <c r="D2" s="101"/>
      <c r="E2" s="101"/>
      <c r="F2" s="101"/>
    </row>
    <row r="3" spans="1:16" ht="29.25" x14ac:dyDescent="0.25">
      <c r="B3" s="5" t="s">
        <v>102</v>
      </c>
      <c r="M3" s="6" t="s">
        <v>100</v>
      </c>
      <c r="N3" s="7">
        <v>113581066</v>
      </c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58">
        <v>211354540</v>
      </c>
      <c r="C5" s="58">
        <v>86870010</v>
      </c>
      <c r="D5" s="58">
        <v>79283898</v>
      </c>
      <c r="E5" s="58">
        <v>145303981</v>
      </c>
      <c r="F5" s="58">
        <v>60178436</v>
      </c>
      <c r="G5" s="58">
        <v>35394679</v>
      </c>
      <c r="H5" s="12">
        <v>78532144</v>
      </c>
      <c r="I5" s="12">
        <v>121122476</v>
      </c>
      <c r="J5" s="12">
        <v>67279218</v>
      </c>
      <c r="K5" s="12">
        <v>104797122</v>
      </c>
      <c r="L5" s="12">
        <v>102072556</v>
      </c>
      <c r="M5" s="12">
        <v>89829006</v>
      </c>
      <c r="N5" s="13">
        <f>SUM(B5:M5)</f>
        <v>1182018066</v>
      </c>
    </row>
    <row r="6" spans="1:16" x14ac:dyDescent="0.25">
      <c r="A6" s="11" t="s">
        <v>95</v>
      </c>
      <c r="B6" s="58"/>
      <c r="C6" s="58">
        <v>1503972</v>
      </c>
      <c r="D6" s="58">
        <v>3771752</v>
      </c>
      <c r="E6" s="58">
        <v>3431373</v>
      </c>
      <c r="F6" s="58">
        <v>951358</v>
      </c>
      <c r="G6" s="58">
        <v>546329</v>
      </c>
      <c r="H6" s="12">
        <v>3644365</v>
      </c>
      <c r="I6" s="12">
        <v>1306693</v>
      </c>
      <c r="J6" s="12">
        <v>1185222</v>
      </c>
      <c r="K6" s="12">
        <v>1293888</v>
      </c>
      <c r="L6" s="12">
        <v>1508479</v>
      </c>
      <c r="M6" s="14">
        <v>2163905</v>
      </c>
      <c r="N6" s="13">
        <f t="shared" ref="N6:N9" si="0">SUM(B6:M6)</f>
        <v>21307336</v>
      </c>
    </row>
    <row r="7" spans="1:16" x14ac:dyDescent="0.25">
      <c r="A7" s="11" t="s">
        <v>96</v>
      </c>
      <c r="B7" s="12"/>
      <c r="C7" s="12"/>
      <c r="D7" s="12"/>
      <c r="E7" s="12">
        <v>42705468</v>
      </c>
      <c r="F7" s="12">
        <v>16140482</v>
      </c>
      <c r="G7" s="12">
        <v>5845931</v>
      </c>
      <c r="H7" s="12">
        <v>7077960</v>
      </c>
      <c r="I7" s="12">
        <v>28774258</v>
      </c>
      <c r="J7" s="12">
        <v>18089497</v>
      </c>
      <c r="K7" s="12">
        <v>11233408</v>
      </c>
      <c r="L7" s="12">
        <v>15460014</v>
      </c>
      <c r="M7" s="14">
        <v>17417837</v>
      </c>
      <c r="N7" s="13">
        <f t="shared" si="0"/>
        <v>162744855</v>
      </c>
    </row>
    <row r="8" spans="1:16" x14ac:dyDescent="0.25">
      <c r="A8" s="11" t="s">
        <v>97</v>
      </c>
      <c r="B8" s="12">
        <v>1500607</v>
      </c>
      <c r="C8" s="12">
        <v>3292498</v>
      </c>
      <c r="D8" s="12">
        <v>1201772</v>
      </c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5994877</v>
      </c>
    </row>
    <row r="9" spans="1:16" x14ac:dyDescent="0.25">
      <c r="A9" s="11" t="s">
        <v>98</v>
      </c>
      <c r="B9" s="12">
        <v>72737738</v>
      </c>
      <c r="C9" s="12">
        <v>235290734</v>
      </c>
      <c r="D9" s="12">
        <v>48723980</v>
      </c>
      <c r="E9" s="12">
        <v>41537408</v>
      </c>
      <c r="F9" s="12">
        <v>80868813</v>
      </c>
      <c r="G9" s="12">
        <v>100572061</v>
      </c>
      <c r="H9" s="12">
        <v>74188052</v>
      </c>
      <c r="I9" s="12">
        <v>73042519</v>
      </c>
      <c r="J9" s="12">
        <v>73798128</v>
      </c>
      <c r="K9" s="12">
        <v>102304443</v>
      </c>
      <c r="L9" s="12">
        <v>76593556</v>
      </c>
      <c r="M9" s="12">
        <v>85085172</v>
      </c>
      <c r="N9" s="13">
        <f t="shared" si="0"/>
        <v>1064742604</v>
      </c>
    </row>
    <row r="10" spans="1:16" s="17" customFormat="1" ht="14.25" x14ac:dyDescent="0.2">
      <c r="A10" s="15" t="s">
        <v>99</v>
      </c>
      <c r="B10" s="16">
        <f>N3+B5-B6-B7-B8-B9</f>
        <v>250697261</v>
      </c>
      <c r="C10" s="16">
        <f>B10+C5-C6-C7-C8-C9</f>
        <v>97480067</v>
      </c>
      <c r="D10" s="16">
        <f t="shared" ref="D10:M10" si="1">C10+D5-D6-D7-D8-D9</f>
        <v>123066461</v>
      </c>
      <c r="E10" s="16">
        <f t="shared" si="1"/>
        <v>180696193</v>
      </c>
      <c r="F10" s="16">
        <f t="shared" si="1"/>
        <v>142913976</v>
      </c>
      <c r="G10" s="16">
        <f t="shared" si="1"/>
        <v>71344334</v>
      </c>
      <c r="H10" s="16">
        <f t="shared" si="1"/>
        <v>64966101</v>
      </c>
      <c r="I10" s="16">
        <f t="shared" si="1"/>
        <v>82965107</v>
      </c>
      <c r="J10" s="16">
        <f t="shared" si="1"/>
        <v>57171478</v>
      </c>
      <c r="K10" s="16">
        <f t="shared" si="1"/>
        <v>47136861</v>
      </c>
      <c r="L10" s="16">
        <f t="shared" si="1"/>
        <v>55647368</v>
      </c>
      <c r="M10" s="16">
        <f t="shared" si="1"/>
        <v>40809460</v>
      </c>
      <c r="N10" s="13">
        <f>N3+N5-N6-N7-N8-N9</f>
        <v>40809460</v>
      </c>
      <c r="P10" s="94"/>
    </row>
    <row r="13" spans="1:16" x14ac:dyDescent="0.25">
      <c r="H13" s="30"/>
    </row>
    <row r="14" spans="1:16" x14ac:dyDescent="0.25">
      <c r="G14" s="30"/>
    </row>
    <row r="15" spans="1:16" x14ac:dyDescent="0.25">
      <c r="C15" s="30"/>
      <c r="F15" s="30"/>
    </row>
    <row r="17" spans="7:7" x14ac:dyDescent="0.25">
      <c r="G17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23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1135712306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712773176</v>
      </c>
      <c r="C5" s="12">
        <v>289271285</v>
      </c>
      <c r="D5" s="12">
        <v>394287707</v>
      </c>
      <c r="E5" s="66">
        <v>313692872</v>
      </c>
      <c r="F5" s="12">
        <v>357524538</v>
      </c>
      <c r="G5" s="12">
        <v>339121225</v>
      </c>
      <c r="H5" s="12">
        <v>377986222</v>
      </c>
      <c r="I5" s="12">
        <v>318116364</v>
      </c>
      <c r="J5" s="12">
        <v>270796013</v>
      </c>
      <c r="K5" s="12">
        <f>313572290+55187</f>
        <v>313627477</v>
      </c>
      <c r="L5" s="12">
        <v>262575070</v>
      </c>
      <c r="M5" s="12">
        <v>429238917</v>
      </c>
      <c r="N5" s="13">
        <f>SUM(B5:M5)</f>
        <v>4379010866</v>
      </c>
    </row>
    <row r="6" spans="1:14" x14ac:dyDescent="0.25">
      <c r="A6" s="11" t="s">
        <v>95</v>
      </c>
      <c r="B6" s="12">
        <v>11509353</v>
      </c>
      <c r="C6" s="12">
        <v>2962190</v>
      </c>
      <c r="D6" s="12">
        <v>62477361</v>
      </c>
      <c r="E6" s="12">
        <v>33327431</v>
      </c>
      <c r="F6" s="12">
        <v>39016230</v>
      </c>
      <c r="G6" s="12">
        <v>49200852</v>
      </c>
      <c r="H6" s="12">
        <v>21223868</v>
      </c>
      <c r="I6" s="12">
        <v>52412183</v>
      </c>
      <c r="J6" s="12">
        <v>16866694</v>
      </c>
      <c r="K6" s="12">
        <v>20184470</v>
      </c>
      <c r="L6" s="12">
        <v>11804738</v>
      </c>
      <c r="M6" s="14">
        <v>10705956</v>
      </c>
      <c r="N6" s="13">
        <f t="shared" ref="N6:N9" si="0">SUM(B6:M6)</f>
        <v>331691326</v>
      </c>
    </row>
    <row r="7" spans="1:14" x14ac:dyDescent="0.25">
      <c r="A7" s="11" t="s">
        <v>96</v>
      </c>
      <c r="B7" s="12">
        <v>177597024</v>
      </c>
      <c r="C7" s="12">
        <v>37894767</v>
      </c>
      <c r="D7" s="12">
        <v>29228290</v>
      </c>
      <c r="E7" s="12">
        <v>17150108</v>
      </c>
      <c r="F7" s="12">
        <v>49305730</v>
      </c>
      <c r="G7" s="12">
        <v>107967529</v>
      </c>
      <c r="H7" s="12">
        <v>132329117</v>
      </c>
      <c r="I7" s="12">
        <v>75006557</v>
      </c>
      <c r="J7" s="12">
        <v>48026547</v>
      </c>
      <c r="K7" s="12">
        <v>50234304</v>
      </c>
      <c r="L7" s="12">
        <v>45560280</v>
      </c>
      <c r="M7" s="14">
        <v>39553263</v>
      </c>
      <c r="N7" s="13">
        <f t="shared" si="0"/>
        <v>809853516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143103215</v>
      </c>
      <c r="C9" s="12">
        <v>326942427</v>
      </c>
      <c r="D9" s="12">
        <v>146136237</v>
      </c>
      <c r="E9" s="12">
        <v>139136386</v>
      </c>
      <c r="F9" s="12">
        <v>1039603443</v>
      </c>
      <c r="G9" s="12">
        <v>546827509</v>
      </c>
      <c r="H9" s="12">
        <v>271944051</v>
      </c>
      <c r="I9" s="12">
        <v>254911617</v>
      </c>
      <c r="J9" s="12">
        <v>285825870</v>
      </c>
      <c r="K9" s="12">
        <v>215827182</v>
      </c>
      <c r="L9" s="12">
        <v>250390182</v>
      </c>
      <c r="M9" s="12">
        <v>215860538</v>
      </c>
      <c r="N9" s="13">
        <f t="shared" si="0"/>
        <v>3836508657</v>
      </c>
    </row>
    <row r="10" spans="1:14" s="17" customFormat="1" ht="14.25" x14ac:dyDescent="0.2">
      <c r="A10" s="15" t="s">
        <v>99</v>
      </c>
      <c r="B10" s="16">
        <f>N3+B5-B6-B7-B8-B9</f>
        <v>1516275890</v>
      </c>
      <c r="C10" s="16">
        <f>B10+C5-C6-C7-C8-C9</f>
        <v>1437747791</v>
      </c>
      <c r="D10" s="16">
        <f t="shared" ref="D10:M10" si="1">C10+D5-D6-D7-D8-D9</f>
        <v>1594193610</v>
      </c>
      <c r="E10" s="16">
        <f t="shared" si="1"/>
        <v>1718272557</v>
      </c>
      <c r="F10" s="16">
        <f t="shared" si="1"/>
        <v>947871692</v>
      </c>
      <c r="G10" s="16">
        <f t="shared" si="1"/>
        <v>582997027</v>
      </c>
      <c r="H10" s="16">
        <f t="shared" si="1"/>
        <v>535486213</v>
      </c>
      <c r="I10" s="16">
        <f t="shared" si="1"/>
        <v>471272220</v>
      </c>
      <c r="J10" s="16">
        <f t="shared" si="1"/>
        <v>391349122</v>
      </c>
      <c r="K10" s="16">
        <f t="shared" si="1"/>
        <v>418730643</v>
      </c>
      <c r="L10" s="16">
        <f t="shared" si="1"/>
        <v>373550513</v>
      </c>
      <c r="M10" s="16">
        <f t="shared" si="1"/>
        <v>536669673</v>
      </c>
      <c r="N10" s="13">
        <f>N3+N5-N6-N7-N8-N9</f>
        <v>536669673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7" width="14.7109375" style="5" customWidth="1"/>
    <col min="8" max="8" width="15" style="5" customWidth="1"/>
    <col min="9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178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14223274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10044453</v>
      </c>
      <c r="C5" s="12">
        <v>8783243</v>
      </c>
      <c r="D5" s="12">
        <v>3446946</v>
      </c>
      <c r="E5" s="12">
        <v>5799828</v>
      </c>
      <c r="F5" s="12">
        <v>4327480</v>
      </c>
      <c r="G5" s="12">
        <v>3838561</v>
      </c>
      <c r="H5" s="12">
        <v>7659612</v>
      </c>
      <c r="I5" s="12">
        <v>5247380</v>
      </c>
      <c r="J5" s="12">
        <v>5039172</v>
      </c>
      <c r="K5" s="12">
        <v>6452879</v>
      </c>
      <c r="L5" s="12">
        <v>5097978</v>
      </c>
      <c r="M5" s="12">
        <v>4841867</v>
      </c>
      <c r="N5" s="13">
        <f>SUM(B5:M5)</f>
        <v>70579399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>
        <v>860195</v>
      </c>
      <c r="K6" s="12"/>
      <c r="L6" s="12"/>
      <c r="M6" s="14"/>
      <c r="N6" s="13">
        <f t="shared" ref="N6:N9" si="0">SUM(B6:M6)</f>
        <v>860195</v>
      </c>
    </row>
    <row r="7" spans="1:14" x14ac:dyDescent="0.25">
      <c r="A7" s="11" t="s">
        <v>96</v>
      </c>
      <c r="B7" s="12"/>
      <c r="C7" s="12">
        <v>562359</v>
      </c>
      <c r="D7" s="12"/>
      <c r="E7" s="12"/>
      <c r="F7" s="12">
        <v>1614912</v>
      </c>
      <c r="G7" s="12"/>
      <c r="H7" s="12"/>
      <c r="I7" s="12">
        <v>1012524</v>
      </c>
      <c r="J7" s="12"/>
      <c r="K7" s="12"/>
      <c r="L7" s="12">
        <v>1739323</v>
      </c>
      <c r="M7" s="14">
        <v>376450</v>
      </c>
      <c r="N7" s="13">
        <f t="shared" si="0"/>
        <v>5305568</v>
      </c>
    </row>
    <row r="8" spans="1:14" x14ac:dyDescent="0.25">
      <c r="A8" s="11" t="s">
        <v>140</v>
      </c>
      <c r="B8" s="12">
        <v>22000</v>
      </c>
      <c r="C8" s="12">
        <v>44000</v>
      </c>
      <c r="D8" s="12">
        <v>22000</v>
      </c>
      <c r="E8" s="12">
        <v>22000</v>
      </c>
      <c r="F8" s="12">
        <v>22000</v>
      </c>
      <c r="G8" s="12">
        <v>22000</v>
      </c>
      <c r="H8" s="12">
        <v>44000</v>
      </c>
      <c r="I8" s="12">
        <v>66000</v>
      </c>
      <c r="J8" s="12">
        <v>22000</v>
      </c>
      <c r="K8" s="12">
        <v>22000</v>
      </c>
      <c r="L8" s="12">
        <v>22000</v>
      </c>
      <c r="M8" s="14">
        <v>44000</v>
      </c>
      <c r="N8" s="13">
        <f t="shared" si="0"/>
        <v>374000</v>
      </c>
    </row>
    <row r="9" spans="1:14" x14ac:dyDescent="0.25">
      <c r="A9" s="11" t="s">
        <v>98</v>
      </c>
      <c r="B9" s="12">
        <v>3447107</v>
      </c>
      <c r="C9" s="12">
        <v>14122620</v>
      </c>
      <c r="D9" s="12">
        <v>7139019</v>
      </c>
      <c r="E9" s="12">
        <v>5047170</v>
      </c>
      <c r="F9" s="12">
        <v>2415532</v>
      </c>
      <c r="G9" s="12">
        <v>1789202</v>
      </c>
      <c r="H9" s="12">
        <v>8248720</v>
      </c>
      <c r="I9" s="12">
        <v>6662343</v>
      </c>
      <c r="J9" s="12">
        <v>3754971</v>
      </c>
      <c r="K9" s="12">
        <v>5627386</v>
      </c>
      <c r="L9" s="12">
        <v>2801095</v>
      </c>
      <c r="M9" s="12">
        <v>4957818</v>
      </c>
      <c r="N9" s="13">
        <f t="shared" si="0"/>
        <v>66012983</v>
      </c>
    </row>
    <row r="10" spans="1:14" s="17" customFormat="1" ht="14.25" x14ac:dyDescent="0.2">
      <c r="A10" s="15" t="s">
        <v>99</v>
      </c>
      <c r="B10" s="16">
        <f>N3+B5-B6-B7-B8-B9</f>
        <v>20798620</v>
      </c>
      <c r="C10" s="16">
        <f>B10+C5-C6-C7-C8-C9</f>
        <v>14852884</v>
      </c>
      <c r="D10" s="16">
        <f t="shared" ref="D10:F10" si="1">C10+D5-D6-D7-D8-D9</f>
        <v>11138811</v>
      </c>
      <c r="E10" s="16">
        <f t="shared" si="1"/>
        <v>11869469</v>
      </c>
      <c r="F10" s="16">
        <f t="shared" si="1"/>
        <v>12144505</v>
      </c>
      <c r="G10" s="16">
        <f t="shared" ref="G10" si="2">F10+G5-G6-G7-G8-G9</f>
        <v>14171864</v>
      </c>
      <c r="H10" s="16">
        <f t="shared" ref="H10:M10" si="3">G10+H5-H6-H7-H8-H9</f>
        <v>13538756</v>
      </c>
      <c r="I10" s="16">
        <f t="shared" si="3"/>
        <v>11045269</v>
      </c>
      <c r="J10" s="16">
        <f t="shared" si="3"/>
        <v>11447275</v>
      </c>
      <c r="K10" s="16">
        <f t="shared" si="3"/>
        <v>12250768</v>
      </c>
      <c r="L10" s="16">
        <f t="shared" si="3"/>
        <v>12786328</v>
      </c>
      <c r="M10" s="16">
        <f t="shared" si="3"/>
        <v>12249927</v>
      </c>
      <c r="N10" s="13">
        <f>N3+N5-N6-N7-N8-N9</f>
        <v>12249927</v>
      </c>
    </row>
    <row r="11" spans="1:14" x14ac:dyDescent="0.25">
      <c r="I11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115</v>
      </c>
      <c r="C2" s="101"/>
      <c r="D2" s="101"/>
      <c r="E2" s="101"/>
      <c r="F2" s="101"/>
    </row>
    <row r="3" spans="1:14" ht="26.25" customHeight="1" x14ac:dyDescent="0.25">
      <c r="B3" s="5" t="s">
        <v>102</v>
      </c>
      <c r="M3" s="6" t="s">
        <v>100</v>
      </c>
      <c r="N3" s="7">
        <v>1343474155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83310427</v>
      </c>
      <c r="C5" s="12">
        <v>113998674</v>
      </c>
      <c r="D5" s="12">
        <v>85174920</v>
      </c>
      <c r="E5" s="12">
        <v>92463559</v>
      </c>
      <c r="F5" s="12">
        <v>76027905</v>
      </c>
      <c r="G5" s="12">
        <v>129901432</v>
      </c>
      <c r="H5" s="12">
        <v>88661438</v>
      </c>
      <c r="I5" s="12">
        <v>96259984</v>
      </c>
      <c r="J5" s="12">
        <v>88892429</v>
      </c>
      <c r="K5" s="12">
        <v>86785936</v>
      </c>
      <c r="L5" s="12">
        <v>90704292</v>
      </c>
      <c r="M5" s="12">
        <v>78092357</v>
      </c>
      <c r="N5" s="13">
        <f>SUM(B5:M5)</f>
        <v>1110273353</v>
      </c>
    </row>
    <row r="6" spans="1:14" x14ac:dyDescent="0.25">
      <c r="A6" s="11" t="s">
        <v>95</v>
      </c>
      <c r="B6" s="12"/>
      <c r="C6" s="12">
        <v>8021480</v>
      </c>
      <c r="D6" s="12"/>
      <c r="E6" s="12">
        <v>5031073</v>
      </c>
      <c r="F6" s="12">
        <v>7299013</v>
      </c>
      <c r="G6" s="12"/>
      <c r="H6" s="12">
        <v>16072793</v>
      </c>
      <c r="I6" s="12">
        <v>8479136</v>
      </c>
      <c r="J6" s="12"/>
      <c r="K6" s="12">
        <v>17718567</v>
      </c>
      <c r="L6" s="12">
        <v>17597535</v>
      </c>
      <c r="M6" s="14">
        <v>20485926</v>
      </c>
      <c r="N6" s="13">
        <f t="shared" ref="N6:N9" si="0">SUM(B6:M6)</f>
        <v>100705523</v>
      </c>
    </row>
    <row r="7" spans="1:14" x14ac:dyDescent="0.25">
      <c r="A7" s="11" t="s">
        <v>96</v>
      </c>
      <c r="B7" s="12"/>
      <c r="C7" s="12"/>
      <c r="D7" s="12"/>
      <c r="E7" s="12"/>
      <c r="F7" s="12">
        <v>97014123</v>
      </c>
      <c r="G7" s="12"/>
      <c r="H7" s="12"/>
      <c r="I7" s="12">
        <v>40648267</v>
      </c>
      <c r="J7" s="12"/>
      <c r="K7" s="12"/>
      <c r="L7" s="12">
        <v>23539225</v>
      </c>
      <c r="M7" s="14"/>
      <c r="N7" s="13">
        <f t="shared" si="0"/>
        <v>161201615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243558400</v>
      </c>
      <c r="F9" s="12">
        <v>600783162</v>
      </c>
      <c r="G9" s="12">
        <v>381886729</v>
      </c>
      <c r="H9" s="12">
        <v>246802458</v>
      </c>
      <c r="I9" s="12">
        <v>110254715</v>
      </c>
      <c r="J9" s="12">
        <v>122937985</v>
      </c>
      <c r="K9" s="12">
        <v>70942871</v>
      </c>
      <c r="L9" s="12">
        <v>96259984</v>
      </c>
      <c r="M9" s="12">
        <v>47755669</v>
      </c>
      <c r="N9" s="13">
        <f t="shared" si="0"/>
        <v>1921181973</v>
      </c>
    </row>
    <row r="10" spans="1:14" s="17" customFormat="1" ht="14.25" x14ac:dyDescent="0.2">
      <c r="A10" s="15" t="s">
        <v>99</v>
      </c>
      <c r="B10" s="16">
        <f>N3+B5-B6-B7-B8-B9</f>
        <v>1426784582</v>
      </c>
      <c r="C10" s="16">
        <f>B10+C5-C6-C7-C8-C9</f>
        <v>1532761776</v>
      </c>
      <c r="D10" s="16">
        <f t="shared" ref="D10:F10" si="1">C10+D5-D6-D7-D8-D9</f>
        <v>1617936696</v>
      </c>
      <c r="E10" s="16">
        <f t="shared" si="1"/>
        <v>1461810782</v>
      </c>
      <c r="F10" s="16">
        <f t="shared" si="1"/>
        <v>832742389</v>
      </c>
      <c r="G10" s="16">
        <f t="shared" ref="G10" si="2">F10+G5-G6-G7-G8-G9</f>
        <v>580757092</v>
      </c>
      <c r="H10" s="16">
        <f t="shared" ref="H10:M10" si="3">G10+H5-H6-H7-H8-H9</f>
        <v>406543279</v>
      </c>
      <c r="I10" s="16">
        <f t="shared" si="3"/>
        <v>343421145</v>
      </c>
      <c r="J10" s="16">
        <f t="shared" si="3"/>
        <v>309375589</v>
      </c>
      <c r="K10" s="16">
        <f t="shared" si="3"/>
        <v>307500087</v>
      </c>
      <c r="L10" s="16">
        <f t="shared" si="3"/>
        <v>260807635</v>
      </c>
      <c r="M10" s="16">
        <f t="shared" si="3"/>
        <v>270658397</v>
      </c>
      <c r="N10" s="13">
        <f>N3+N5-N6-N7-N8-N9</f>
        <v>270658397</v>
      </c>
    </row>
    <row r="13" spans="1:14" x14ac:dyDescent="0.25">
      <c r="K13" s="83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E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25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14349012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12068599</v>
      </c>
      <c r="C5" s="12">
        <v>5456572</v>
      </c>
      <c r="D5" s="12">
        <v>2423223</v>
      </c>
      <c r="E5" s="12">
        <v>10214237</v>
      </c>
      <c r="F5" s="12"/>
      <c r="G5" s="12">
        <v>4713440</v>
      </c>
      <c r="H5" s="12">
        <v>5067689</v>
      </c>
      <c r="I5" s="12">
        <v>5667402</v>
      </c>
      <c r="J5" s="12">
        <v>3118451</v>
      </c>
      <c r="K5" s="12">
        <v>4467977</v>
      </c>
      <c r="L5" s="12">
        <v>4178304</v>
      </c>
      <c r="M5" s="12">
        <v>7436329</v>
      </c>
      <c r="N5" s="13">
        <f>SUM(B5:M5)</f>
        <v>64812223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>
        <v>1819819</v>
      </c>
      <c r="H6" s="12"/>
      <c r="I6" s="12"/>
      <c r="J6" s="12"/>
      <c r="K6" s="12"/>
      <c r="L6" s="12"/>
      <c r="M6" s="14"/>
      <c r="N6" s="13">
        <f t="shared" ref="N6:N9" si="0">SUM(B6:M6)</f>
        <v>1819819</v>
      </c>
    </row>
    <row r="7" spans="1:14" x14ac:dyDescent="0.25">
      <c r="A7" s="11" t="s">
        <v>96</v>
      </c>
      <c r="B7" s="12"/>
      <c r="C7" s="12">
        <v>462780</v>
      </c>
      <c r="D7" s="12"/>
      <c r="E7" s="12"/>
      <c r="F7" s="12"/>
      <c r="G7" s="12">
        <v>1446259</v>
      </c>
      <c r="H7" s="12"/>
      <c r="I7" s="12"/>
      <c r="J7" s="12">
        <v>950205</v>
      </c>
      <c r="K7" s="12"/>
      <c r="L7" s="12">
        <v>1352910</v>
      </c>
      <c r="M7" s="14">
        <v>308537</v>
      </c>
      <c r="N7" s="13">
        <f t="shared" si="0"/>
        <v>4520691</v>
      </c>
    </row>
    <row r="8" spans="1:14" x14ac:dyDescent="0.25">
      <c r="A8" s="11" t="s">
        <v>140</v>
      </c>
      <c r="B8" s="12"/>
      <c r="C8" s="12"/>
      <c r="D8" s="12">
        <v>11000</v>
      </c>
      <c r="E8" s="12"/>
      <c r="F8" s="12"/>
      <c r="G8" s="12"/>
      <c r="H8" s="12"/>
      <c r="I8" s="12"/>
      <c r="J8" s="12">
        <v>11000</v>
      </c>
      <c r="K8" s="12"/>
      <c r="L8" s="12">
        <v>11000</v>
      </c>
      <c r="M8" s="14"/>
      <c r="N8" s="13">
        <f t="shared" si="0"/>
        <v>33000</v>
      </c>
    </row>
    <row r="9" spans="1:14" x14ac:dyDescent="0.25">
      <c r="A9" s="11" t="s">
        <v>98</v>
      </c>
      <c r="B9" s="12"/>
      <c r="C9" s="12"/>
      <c r="D9" s="12">
        <v>25943831</v>
      </c>
      <c r="E9" s="12"/>
      <c r="F9" s="12"/>
      <c r="G9" s="12">
        <v>9371382</v>
      </c>
      <c r="H9" s="12"/>
      <c r="I9" s="12"/>
      <c r="J9" s="12">
        <v>7777648</v>
      </c>
      <c r="K9" s="12"/>
      <c r="L9" s="12">
        <v>12206138</v>
      </c>
      <c r="M9" s="12"/>
      <c r="N9" s="13">
        <f t="shared" si="0"/>
        <v>55298999</v>
      </c>
    </row>
    <row r="10" spans="1:14" s="17" customFormat="1" ht="14.25" x14ac:dyDescent="0.2">
      <c r="A10" s="15" t="s">
        <v>99</v>
      </c>
      <c r="B10" s="16">
        <f>N3+B5-B6-B7-B8-B9</f>
        <v>26417611</v>
      </c>
      <c r="C10" s="16">
        <f>B10+C5-C6-C7-C8-C9</f>
        <v>31411403</v>
      </c>
      <c r="D10" s="16">
        <f t="shared" ref="D10:F10" si="1">C10+D5-D6-D7-D8-D9</f>
        <v>7879795</v>
      </c>
      <c r="E10" s="16">
        <f t="shared" si="1"/>
        <v>18094032</v>
      </c>
      <c r="F10" s="16">
        <f t="shared" si="1"/>
        <v>18094032</v>
      </c>
      <c r="G10" s="16">
        <f t="shared" ref="G10" si="2">F10+G5-G6-G7-G8-G9</f>
        <v>10170012</v>
      </c>
      <c r="H10" s="16">
        <f t="shared" ref="H10:M10" si="3">G10+H5-H6-H7-H8-H9</f>
        <v>15237701</v>
      </c>
      <c r="I10" s="16">
        <f t="shared" si="3"/>
        <v>20905103</v>
      </c>
      <c r="J10" s="16">
        <f t="shared" si="3"/>
        <v>15284701</v>
      </c>
      <c r="K10" s="16">
        <f t="shared" si="3"/>
        <v>19752678</v>
      </c>
      <c r="L10" s="16">
        <f t="shared" si="3"/>
        <v>10360934</v>
      </c>
      <c r="M10" s="16">
        <f t="shared" si="3"/>
        <v>17488726</v>
      </c>
      <c r="N10" s="13">
        <f>N3+N5-N6-N7-N8-N9</f>
        <v>17488726</v>
      </c>
    </row>
    <row r="13" spans="1:14" x14ac:dyDescent="0.25">
      <c r="J13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6" width="14.42578125" style="5" customWidth="1"/>
    <col min="7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26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27745568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26385079</v>
      </c>
      <c r="C5" s="12">
        <v>7507423</v>
      </c>
      <c r="D5" s="12">
        <v>7701551</v>
      </c>
      <c r="E5" s="12">
        <v>11531559</v>
      </c>
      <c r="F5" s="12">
        <v>9858800</v>
      </c>
      <c r="G5" s="12">
        <v>11267696</v>
      </c>
      <c r="H5" s="12">
        <v>7855855</v>
      </c>
      <c r="I5" s="12">
        <v>17686534</v>
      </c>
      <c r="J5" s="12">
        <v>3927215</v>
      </c>
      <c r="K5" s="12">
        <v>10442261</v>
      </c>
      <c r="L5" s="12">
        <v>5227632</v>
      </c>
      <c r="M5" s="12">
        <v>8154659</v>
      </c>
      <c r="N5" s="13">
        <f>SUM(B5:M5)</f>
        <v>127546264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>
        <v>1074560</v>
      </c>
      <c r="D7" s="12"/>
      <c r="E7" s="12"/>
      <c r="F7" s="12">
        <v>3015571</v>
      </c>
      <c r="G7" s="12"/>
      <c r="H7" s="12">
        <v>2367707</v>
      </c>
      <c r="I7" s="12"/>
      <c r="J7" s="12"/>
      <c r="K7" s="12"/>
      <c r="L7" s="12">
        <v>2947199</v>
      </c>
      <c r="M7" s="14">
        <v>386022</v>
      </c>
      <c r="N7" s="13">
        <f t="shared" si="0"/>
        <v>9791059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27745568</v>
      </c>
      <c r="D9" s="12">
        <v>28147639</v>
      </c>
      <c r="E9" s="12">
        <v>7941582</v>
      </c>
      <c r="F9" s="12">
        <v>4430272</v>
      </c>
      <c r="G9" s="12">
        <v>8515988</v>
      </c>
      <c r="H9" s="12">
        <v>14730315</v>
      </c>
      <c r="I9" s="12">
        <v>3511662</v>
      </c>
      <c r="J9" s="12">
        <v>6573527</v>
      </c>
      <c r="K9" s="12">
        <v>19485674</v>
      </c>
      <c r="L9" s="12">
        <v>2128075</v>
      </c>
      <c r="M9" s="12">
        <v>3915713</v>
      </c>
      <c r="N9" s="13">
        <f t="shared" si="0"/>
        <v>127126015</v>
      </c>
    </row>
    <row r="10" spans="1:14" s="17" customFormat="1" ht="14.25" x14ac:dyDescent="0.2">
      <c r="A10" s="15" t="s">
        <v>99</v>
      </c>
      <c r="B10" s="16">
        <f>N3+B5-B6-B7-B8-B9</f>
        <v>54130647</v>
      </c>
      <c r="C10" s="16">
        <f>B10+C5-C6-C7-C8-C9</f>
        <v>32817942</v>
      </c>
      <c r="D10" s="16">
        <f t="shared" ref="D10:F10" si="1">C10+D5-D6-D7-D8-D9</f>
        <v>12371854</v>
      </c>
      <c r="E10" s="16">
        <f t="shared" si="1"/>
        <v>15961831</v>
      </c>
      <c r="F10" s="16">
        <f t="shared" si="1"/>
        <v>18374788</v>
      </c>
      <c r="G10" s="16">
        <f t="shared" ref="G10" si="2">F10+G5-G6-G7-G8-G9</f>
        <v>21126496</v>
      </c>
      <c r="H10" s="16">
        <f t="shared" ref="H10:M10" si="3">G10+H5-H6-H7-H8-H9</f>
        <v>11884329</v>
      </c>
      <c r="I10" s="16">
        <f t="shared" si="3"/>
        <v>26059201</v>
      </c>
      <c r="J10" s="16">
        <f t="shared" si="3"/>
        <v>23412889</v>
      </c>
      <c r="K10" s="16">
        <f t="shared" si="3"/>
        <v>14369476</v>
      </c>
      <c r="L10" s="16">
        <f t="shared" si="3"/>
        <v>14521834</v>
      </c>
      <c r="M10" s="16">
        <f t="shared" si="3"/>
        <v>18374758</v>
      </c>
      <c r="N10" s="13">
        <f>N3+N5-N6-N7-N8-N9</f>
        <v>18374758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5" ht="15.75" x14ac:dyDescent="0.25">
      <c r="L1" s="100" t="s">
        <v>109</v>
      </c>
      <c r="M1" s="100"/>
      <c r="N1" s="100"/>
    </row>
    <row r="2" spans="1:15" ht="18.75" x14ac:dyDescent="0.25">
      <c r="B2" s="101" t="s">
        <v>27</v>
      </c>
      <c r="C2" s="101"/>
      <c r="D2" s="101"/>
      <c r="E2" s="101"/>
      <c r="F2" s="101"/>
    </row>
    <row r="3" spans="1:15" ht="29.25" x14ac:dyDescent="0.25">
      <c r="B3" s="5" t="s">
        <v>102</v>
      </c>
      <c r="M3" s="6" t="s">
        <v>100</v>
      </c>
      <c r="N3" s="7">
        <v>20744943.026000001</v>
      </c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>
        <v>9332566</v>
      </c>
      <c r="C5" s="12"/>
      <c r="D5" s="12">
        <v>5528195</v>
      </c>
      <c r="E5" s="12">
        <v>11694584</v>
      </c>
      <c r="F5" s="12"/>
      <c r="G5" s="12">
        <v>8150482</v>
      </c>
      <c r="H5" s="12">
        <v>34626690</v>
      </c>
      <c r="I5" s="12"/>
      <c r="J5" s="12">
        <v>0</v>
      </c>
      <c r="K5" s="12">
        <v>0</v>
      </c>
      <c r="L5" s="12"/>
      <c r="M5" s="12"/>
      <c r="N5" s="13">
        <f>SUM(B5:M5)</f>
        <v>69332517</v>
      </c>
    </row>
    <row r="6" spans="1:15" x14ac:dyDescent="0.25">
      <c r="A6" s="11" t="s">
        <v>95</v>
      </c>
      <c r="B6" s="12"/>
      <c r="C6" s="12">
        <v>2781555</v>
      </c>
      <c r="D6" s="12"/>
      <c r="E6" s="12">
        <v>5715181</v>
      </c>
      <c r="F6" s="12">
        <v>1627473</v>
      </c>
      <c r="G6" s="12">
        <v>5418275</v>
      </c>
      <c r="H6" s="12">
        <v>3520122</v>
      </c>
      <c r="I6" s="12">
        <v>745362</v>
      </c>
      <c r="J6" s="12"/>
      <c r="K6" s="12"/>
      <c r="L6" s="12"/>
      <c r="M6" s="14"/>
      <c r="N6" s="13">
        <f t="shared" ref="N6:N9" si="0">SUM(B6:M6)</f>
        <v>19807968</v>
      </c>
    </row>
    <row r="7" spans="1:15" x14ac:dyDescent="0.25">
      <c r="A7" s="11" t="s">
        <v>96</v>
      </c>
      <c r="B7" s="12"/>
      <c r="C7" s="12"/>
      <c r="D7" s="12">
        <v>362376</v>
      </c>
      <c r="E7" s="12"/>
      <c r="F7" s="12">
        <v>983471</v>
      </c>
      <c r="G7" s="12"/>
      <c r="H7" s="12">
        <v>159300</v>
      </c>
      <c r="I7" s="12"/>
      <c r="J7" s="12"/>
      <c r="K7" s="12"/>
      <c r="L7" s="12"/>
      <c r="M7" s="14"/>
      <c r="N7" s="13">
        <f t="shared" si="0"/>
        <v>1505147</v>
      </c>
      <c r="O7" s="47">
        <v>-0.03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>
        <v>20744943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20744943</v>
      </c>
    </row>
    <row r="10" spans="1:15" s="17" customFormat="1" ht="14.25" x14ac:dyDescent="0.2">
      <c r="A10" s="15" t="s">
        <v>99</v>
      </c>
      <c r="B10" s="16">
        <f>N3+B5-B6-B7-B8-B9</f>
        <v>30077509.026000001</v>
      </c>
      <c r="C10" s="16">
        <f>B10+C5-C6-C7-C8-C9</f>
        <v>6551011.0260000005</v>
      </c>
      <c r="D10" s="16">
        <f t="shared" ref="D10:F10" si="1">C10+D5-D6-D7-D8-D9</f>
        <v>11716830.026000001</v>
      </c>
      <c r="E10" s="16">
        <f t="shared" si="1"/>
        <v>17696233.026000001</v>
      </c>
      <c r="F10" s="16">
        <f t="shared" si="1"/>
        <v>15085289.026000001</v>
      </c>
      <c r="G10" s="16">
        <f t="shared" ref="G10" si="2">F10+G5-G6-G7-G8-G9</f>
        <v>17817496.026000001</v>
      </c>
      <c r="H10" s="16">
        <f t="shared" ref="H10:K10" si="3">G10+H5-H6-H7-H8-H9</f>
        <v>48764764.026000001</v>
      </c>
      <c r="I10" s="16">
        <f t="shared" si="3"/>
        <v>48019402.026000001</v>
      </c>
      <c r="J10" s="16">
        <f t="shared" si="3"/>
        <v>48019402.026000001</v>
      </c>
      <c r="K10" s="16">
        <f t="shared" si="3"/>
        <v>48019402.026000001</v>
      </c>
      <c r="L10" s="16"/>
      <c r="M10" s="16"/>
      <c r="N10" s="13">
        <f>N3+N5-N6-N7-N8-N9</f>
        <v>48019402.025999993</v>
      </c>
    </row>
    <row r="11" spans="1:15" x14ac:dyDescent="0.25">
      <c r="D11" s="5" t="s">
        <v>146</v>
      </c>
      <c r="F11" s="5" t="s">
        <v>145</v>
      </c>
      <c r="H11" s="5" t="s">
        <v>161</v>
      </c>
    </row>
    <row r="12" spans="1:15" ht="30" x14ac:dyDescent="0.25">
      <c r="A12" s="5" t="s">
        <v>144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topLeftCell="E1" workbookViewId="0">
      <selection activeCell="L1" sqref="L1:N1"/>
    </sheetView>
  </sheetViews>
  <sheetFormatPr defaultColWidth="9.140625" defaultRowHeight="15" x14ac:dyDescent="0.25"/>
  <cols>
    <col min="1" max="1" width="20" style="5" customWidth="1"/>
    <col min="2" max="2" width="15" style="5" customWidth="1"/>
    <col min="3" max="4" width="15.42578125" style="5" bestFit="1" customWidth="1"/>
    <col min="5" max="5" width="15" style="5" customWidth="1"/>
    <col min="6" max="14" width="15.42578125" style="5" customWidth="1"/>
    <col min="15" max="15" width="9.140625" style="1"/>
    <col min="16" max="16" width="13.7109375" style="1" hidden="1" customWidth="1"/>
    <col min="17" max="17" width="16.85546875" style="1" bestFit="1" customWidth="1"/>
    <col min="18" max="18" width="12.28515625" style="1" bestFit="1" customWidth="1"/>
    <col min="19" max="16384" width="9.140625" style="1"/>
  </cols>
  <sheetData>
    <row r="1" spans="1:18" ht="15.75" x14ac:dyDescent="0.25">
      <c r="L1" s="100" t="s">
        <v>109</v>
      </c>
      <c r="M1" s="100"/>
      <c r="N1" s="100"/>
    </row>
    <row r="2" spans="1:18" ht="18.75" x14ac:dyDescent="0.25">
      <c r="B2" s="101" t="s">
        <v>28</v>
      </c>
      <c r="C2" s="101"/>
      <c r="D2" s="101"/>
      <c r="E2" s="101"/>
      <c r="F2" s="101"/>
    </row>
    <row r="3" spans="1:18" ht="29.25" x14ac:dyDescent="0.25">
      <c r="B3" s="5" t="s">
        <v>102</v>
      </c>
      <c r="M3" s="6" t="s">
        <v>100</v>
      </c>
      <c r="N3" s="44">
        <f>774645622+269524986-9121</f>
        <v>1044161487</v>
      </c>
      <c r="P3" s="44">
        <v>774645622</v>
      </c>
    </row>
    <row r="4" spans="1:18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  <c r="R4" s="85"/>
    </row>
    <row r="5" spans="1:18" x14ac:dyDescent="0.25">
      <c r="A5" s="11" t="s">
        <v>94</v>
      </c>
      <c r="B5" s="12">
        <v>14633</v>
      </c>
      <c r="C5" s="12">
        <v>67926034</v>
      </c>
      <c r="D5" s="12">
        <v>181184782</v>
      </c>
      <c r="E5" s="12">
        <v>144175481</v>
      </c>
      <c r="F5" s="12">
        <v>82314215</v>
      </c>
      <c r="G5" s="12">
        <v>138222470</v>
      </c>
      <c r="H5" s="12">
        <v>94524871</v>
      </c>
      <c r="I5" s="12">
        <v>125428943</v>
      </c>
      <c r="J5" s="12">
        <v>96984103</v>
      </c>
      <c r="K5" s="12">
        <v>124138477</v>
      </c>
      <c r="L5" s="12">
        <v>158200900</v>
      </c>
      <c r="M5" s="12">
        <v>135783297</v>
      </c>
      <c r="N5" s="13">
        <f>SUM(B5:M5)</f>
        <v>1348898206</v>
      </c>
    </row>
    <row r="6" spans="1:18" x14ac:dyDescent="0.25">
      <c r="A6" s="11" t="s">
        <v>95</v>
      </c>
      <c r="B6" s="12">
        <v>8534535</v>
      </c>
      <c r="C6" s="12"/>
      <c r="D6" s="12"/>
      <c r="E6" s="12"/>
      <c r="F6" s="12"/>
      <c r="G6" s="12">
        <v>23589655</v>
      </c>
      <c r="H6" s="12">
        <v>55467543</v>
      </c>
      <c r="I6" s="12">
        <v>14473011</v>
      </c>
      <c r="J6" s="12">
        <v>11554976</v>
      </c>
      <c r="K6" s="12">
        <v>6249239</v>
      </c>
      <c r="L6" s="12">
        <f>10137523+11823466</f>
        <v>21960989</v>
      </c>
      <c r="M6" s="14">
        <v>7420547</v>
      </c>
      <c r="N6" s="13">
        <f t="shared" ref="N6:N9" si="0">SUM(B6:M6)</f>
        <v>149250495</v>
      </c>
    </row>
    <row r="7" spans="1:18" x14ac:dyDescent="0.25">
      <c r="A7" s="11" t="s">
        <v>96</v>
      </c>
      <c r="B7" s="12"/>
      <c r="C7" s="12"/>
      <c r="D7" s="12"/>
      <c r="E7" s="12"/>
      <c r="F7" s="12"/>
      <c r="G7" s="12">
        <v>1831933</v>
      </c>
      <c r="H7" s="12"/>
      <c r="I7" s="12"/>
      <c r="J7" s="12"/>
      <c r="K7" s="12"/>
      <c r="L7" s="12"/>
      <c r="M7" s="93">
        <v>108842045</v>
      </c>
      <c r="N7" s="13">
        <f t="shared" si="0"/>
        <v>110673978</v>
      </c>
    </row>
    <row r="8" spans="1:18" x14ac:dyDescent="0.25">
      <c r="A8" s="11" t="s">
        <v>163</v>
      </c>
      <c r="B8" s="12"/>
      <c r="C8" s="12"/>
      <c r="D8" s="12"/>
      <c r="E8" s="12"/>
      <c r="F8" s="12"/>
      <c r="G8" s="12"/>
      <c r="H8" s="12">
        <v>3775139</v>
      </c>
      <c r="I8" s="12">
        <f>6505893+3163166</f>
        <v>9669059</v>
      </c>
      <c r="J8" s="12">
        <v>2520413</v>
      </c>
      <c r="K8" s="12"/>
      <c r="L8" s="12">
        <v>3119862</v>
      </c>
      <c r="M8" s="14">
        <f>4188343+1154445</f>
        <v>5342788</v>
      </c>
      <c r="N8" s="13">
        <f t="shared" si="0"/>
        <v>24427261</v>
      </c>
    </row>
    <row r="9" spans="1:18" x14ac:dyDescent="0.25">
      <c r="A9" s="11" t="s">
        <v>98</v>
      </c>
      <c r="B9" s="12">
        <v>98447537</v>
      </c>
      <c r="C9" s="12"/>
      <c r="D9" s="12">
        <v>145640673</v>
      </c>
      <c r="E9" s="12">
        <v>42690178</v>
      </c>
      <c r="F9" s="12">
        <v>100225233</v>
      </c>
      <c r="G9" s="12">
        <v>350750127</v>
      </c>
      <c r="H9" s="12">
        <v>115605851</v>
      </c>
      <c r="I9" s="12">
        <v>426035347</v>
      </c>
      <c r="J9" s="12">
        <v>110670371</v>
      </c>
      <c r="K9" s="12">
        <v>88214451</v>
      </c>
      <c r="L9" s="12">
        <f>109195183+102186724</f>
        <v>211381907</v>
      </c>
      <c r="M9" s="12">
        <f>131222989+146592010+114290033</f>
        <v>392105032</v>
      </c>
      <c r="N9" s="13">
        <f t="shared" si="0"/>
        <v>2081766707</v>
      </c>
    </row>
    <row r="10" spans="1:18" s="17" customFormat="1" x14ac:dyDescent="0.25">
      <c r="A10" s="15" t="s">
        <v>99</v>
      </c>
      <c r="B10" s="16">
        <f>N3+B5-B6-B7-B8-B9</f>
        <v>937194048</v>
      </c>
      <c r="C10" s="16">
        <f>B10+C5-C6-C7-C8-C9</f>
        <v>1005120082</v>
      </c>
      <c r="D10" s="16">
        <f t="shared" ref="D10:F10" si="1">C10+D5-D6-D7-D8-D9</f>
        <v>1040664191</v>
      </c>
      <c r="E10" s="16">
        <f t="shared" si="1"/>
        <v>1142149494</v>
      </c>
      <c r="F10" s="16">
        <f t="shared" si="1"/>
        <v>1124238476</v>
      </c>
      <c r="G10" s="16">
        <f t="shared" ref="G10" si="2">F10+G5-G6-G7-G8-G9</f>
        <v>886289231</v>
      </c>
      <c r="H10" s="16">
        <f t="shared" ref="H10" si="3">G10+H5-H6-H7-H8-H9</f>
        <v>805965569</v>
      </c>
      <c r="I10" s="16">
        <f>H10+I5-I6-I7-I8-I9</f>
        <v>481217095</v>
      </c>
      <c r="J10" s="16">
        <f>I10+J5-J6-J7-J8-J9</f>
        <v>453455438</v>
      </c>
      <c r="K10" s="16">
        <f>J10+K5-K6-K7-K8-K9</f>
        <v>483130225</v>
      </c>
      <c r="L10" s="16">
        <f>K10+L5-L6-L7-L8-L9</f>
        <v>404868367</v>
      </c>
      <c r="M10" s="16">
        <f>L10+M5-M6-M7-M8-M9</f>
        <v>26941252</v>
      </c>
      <c r="N10" s="13">
        <f>N3+N5-N6-N7-N8-N9</f>
        <v>26941252</v>
      </c>
      <c r="Q10" s="1"/>
    </row>
    <row r="12" spans="1:18" x14ac:dyDescent="0.25">
      <c r="I12" s="30"/>
      <c r="J12" s="30"/>
    </row>
    <row r="13" spans="1:18" x14ac:dyDescent="0.25">
      <c r="I13" s="30"/>
      <c r="J13" s="30"/>
    </row>
    <row r="14" spans="1:18" x14ac:dyDescent="0.25">
      <c r="I14" s="30"/>
      <c r="J14" s="30"/>
      <c r="M14" s="30">
        <v>145037591</v>
      </c>
    </row>
    <row r="15" spans="1:18" x14ac:dyDescent="0.25">
      <c r="I15" s="30"/>
      <c r="J15" s="30"/>
      <c r="M15" s="30">
        <f>+M14-M10</f>
        <v>118096339</v>
      </c>
    </row>
    <row r="16" spans="1:18" x14ac:dyDescent="0.25">
      <c r="I16" s="30"/>
      <c r="J16" s="30"/>
    </row>
    <row r="17" spans="7:10" x14ac:dyDescent="0.25">
      <c r="I17" s="30"/>
      <c r="J17" s="30"/>
    </row>
    <row r="18" spans="7:10" x14ac:dyDescent="0.25">
      <c r="I18" s="30"/>
      <c r="J18" s="30"/>
    </row>
    <row r="19" spans="7:10" x14ac:dyDescent="0.25">
      <c r="I19" s="30"/>
      <c r="J19" s="30"/>
    </row>
    <row r="20" spans="7:10" x14ac:dyDescent="0.25">
      <c r="I20" s="30"/>
      <c r="J20" s="30"/>
    </row>
    <row r="21" spans="7:10" x14ac:dyDescent="0.25">
      <c r="I21" s="30"/>
      <c r="J21" s="30"/>
    </row>
    <row r="22" spans="7:10" x14ac:dyDescent="0.25">
      <c r="I22" s="30"/>
      <c r="J22" s="30"/>
    </row>
    <row r="26" spans="7:10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I1"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198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>
        <v>8459409</v>
      </c>
      <c r="F5" s="12">
        <v>5606173</v>
      </c>
      <c r="G5" s="12">
        <v>3892710</v>
      </c>
      <c r="H5" s="12">
        <v>10247375</v>
      </c>
      <c r="I5" s="12">
        <v>7850481</v>
      </c>
      <c r="J5" s="12">
        <v>3929582</v>
      </c>
      <c r="K5" s="12">
        <v>3602033</v>
      </c>
      <c r="L5" s="12">
        <v>5812020</v>
      </c>
      <c r="M5" s="12">
        <v>8475964</v>
      </c>
      <c r="N5" s="13">
        <f>+SUM(B5:M5)</f>
        <v>57875747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>
        <v>247165</v>
      </c>
      <c r="M6" s="14">
        <v>413358</v>
      </c>
      <c r="N6" s="13">
        <f t="shared" ref="N6:N8" si="0">+SUM(B6:M6)</f>
        <v>660523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>
        <v>8458000</v>
      </c>
      <c r="F9" s="12">
        <v>5605666</v>
      </c>
      <c r="G9" s="12">
        <v>3891877</v>
      </c>
      <c r="H9" s="12">
        <v>10247375</v>
      </c>
      <c r="I9" s="12">
        <v>4549133</v>
      </c>
      <c r="J9" s="12">
        <v>7230930</v>
      </c>
      <c r="K9" s="12">
        <v>0</v>
      </c>
      <c r="L9" s="12">
        <v>9166378</v>
      </c>
      <c r="M9" s="12">
        <v>8061206</v>
      </c>
      <c r="N9" s="13">
        <f>+SUM(B9:M9)</f>
        <v>57210565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>C10+P3+D5-D6-D7-D8-D9</f>
        <v>0</v>
      </c>
      <c r="E10" s="16">
        <f t="shared" ref="E10:J10" si="1">D10+Q3+E5-E6-E7-E8-E9</f>
        <v>1409</v>
      </c>
      <c r="F10" s="16">
        <f t="shared" si="1"/>
        <v>1916</v>
      </c>
      <c r="G10" s="16">
        <f t="shared" si="1"/>
        <v>2749</v>
      </c>
      <c r="H10" s="16">
        <f t="shared" si="1"/>
        <v>2749</v>
      </c>
      <c r="I10" s="16">
        <f t="shared" si="1"/>
        <v>3304097</v>
      </c>
      <c r="J10" s="16">
        <f t="shared" si="1"/>
        <v>2749</v>
      </c>
      <c r="K10" s="16">
        <f>J10+W3+K5-K6-K7-K8-K9</f>
        <v>3604782</v>
      </c>
      <c r="L10" s="16">
        <f t="shared" ref="L10:M10" si="2">K10+X3+L5-L6-L7-L8-L9</f>
        <v>3259</v>
      </c>
      <c r="M10" s="16">
        <f t="shared" si="2"/>
        <v>4659</v>
      </c>
      <c r="N10" s="16">
        <f>Z3+N5-N6-N7-N8-N9</f>
        <v>4659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9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29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12000169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2681750</v>
      </c>
      <c r="C5" s="12">
        <v>4360735</v>
      </c>
      <c r="D5" s="12">
        <v>5304799</v>
      </c>
      <c r="E5" s="12">
        <v>11368067</v>
      </c>
      <c r="F5" s="12">
        <v>6039230</v>
      </c>
      <c r="G5" s="12">
        <v>5348107</v>
      </c>
      <c r="H5" s="12">
        <v>9707163</v>
      </c>
      <c r="I5" s="12">
        <v>7952007</v>
      </c>
      <c r="J5" s="12">
        <v>6600802</v>
      </c>
      <c r="K5" s="12">
        <v>3542874</v>
      </c>
      <c r="L5" s="12"/>
      <c r="M5" s="12"/>
      <c r="N5" s="13">
        <f>SUM(B5:M5)</f>
        <v>62905534</v>
      </c>
    </row>
    <row r="6" spans="1:14" x14ac:dyDescent="0.25">
      <c r="A6" s="11" t="s">
        <v>95</v>
      </c>
      <c r="B6" s="12">
        <v>552615</v>
      </c>
      <c r="C6" s="12">
        <v>1313651</v>
      </c>
      <c r="D6" s="12">
        <v>3227693</v>
      </c>
      <c r="E6" s="12">
        <v>2854817</v>
      </c>
      <c r="F6" s="12">
        <v>1443749</v>
      </c>
      <c r="G6" s="12">
        <v>1658539</v>
      </c>
      <c r="H6" s="12">
        <v>1019427</v>
      </c>
      <c r="I6" s="12">
        <v>145562</v>
      </c>
      <c r="J6" s="12">
        <v>269057.2</v>
      </c>
      <c r="K6" s="12">
        <v>471562</v>
      </c>
      <c r="L6" s="12"/>
      <c r="M6" s="14"/>
      <c r="N6" s="13">
        <f t="shared" ref="N6:N9" si="0">SUM(B6:M6)</f>
        <v>12956672.199999999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14129303</v>
      </c>
      <c r="D9" s="12">
        <v>3047084</v>
      </c>
      <c r="E9" s="12">
        <v>2077086</v>
      </c>
      <c r="F9" s="12">
        <v>8531250</v>
      </c>
      <c r="G9" s="12">
        <v>4595481</v>
      </c>
      <c r="H9" s="12">
        <v>3689568</v>
      </c>
      <c r="I9" s="12">
        <v>8687736</v>
      </c>
      <c r="J9" s="12"/>
      <c r="K9" s="12">
        <v>7806445</v>
      </c>
      <c r="L9" s="12"/>
      <c r="M9" s="12"/>
      <c r="N9" s="13">
        <f t="shared" si="0"/>
        <v>52563953</v>
      </c>
    </row>
    <row r="10" spans="1:14" s="17" customFormat="1" ht="14.25" x14ac:dyDescent="0.2">
      <c r="A10" s="15" t="s">
        <v>99</v>
      </c>
      <c r="B10" s="16">
        <f>N3+B5-B6-B7-B8-B9</f>
        <v>14129304</v>
      </c>
      <c r="C10" s="16">
        <f>B10+C5-C6-C7-C8-C9</f>
        <v>3047085</v>
      </c>
      <c r="D10" s="16">
        <f t="shared" ref="D10:E10" si="1">C10+D5-D6-D7-D8-D9</f>
        <v>2077107</v>
      </c>
      <c r="E10" s="16">
        <f t="shared" si="1"/>
        <v>8513271</v>
      </c>
      <c r="F10" s="16">
        <v>4595481</v>
      </c>
      <c r="G10" s="16">
        <f t="shared" ref="G10" si="2">F10+G5-G6-G7-G8-G9</f>
        <v>3689568</v>
      </c>
      <c r="H10" s="16">
        <f t="shared" ref="H10:I10" si="3">G10+H5-H6-H7-H8-H9</f>
        <v>8687736</v>
      </c>
      <c r="I10" s="16">
        <f t="shared" si="3"/>
        <v>7806445</v>
      </c>
      <c r="J10" s="16">
        <f t="shared" ref="J10" si="4">I10+J5-J6-J7-J8-J9</f>
        <v>14138189.800000001</v>
      </c>
      <c r="K10" s="16">
        <f>J10+K5-K6-K7-K8-K9</f>
        <v>9403056.8000000007</v>
      </c>
      <c r="L10" s="16"/>
      <c r="M10" s="16"/>
      <c r="N10" s="13">
        <f>N3+N5-N6-N7-N8-N9</f>
        <v>9385077.799999997</v>
      </c>
    </row>
    <row r="11" spans="1:14" ht="45" x14ac:dyDescent="0.25">
      <c r="K11" s="5" t="s">
        <v>181</v>
      </c>
    </row>
    <row r="12" spans="1:14" ht="30" x14ac:dyDescent="0.25">
      <c r="F12" s="5" t="s">
        <v>149</v>
      </c>
    </row>
    <row r="13" spans="1:14" x14ac:dyDescent="0.25">
      <c r="A13" s="1"/>
      <c r="B13" s="1" t="s">
        <v>150</v>
      </c>
    </row>
    <row r="14" spans="1:14" x14ac:dyDescent="0.25">
      <c r="F14" s="30"/>
    </row>
    <row r="15" spans="1:14" x14ac:dyDescent="0.25">
      <c r="C15" s="30"/>
    </row>
    <row r="16" spans="1:14" x14ac:dyDescent="0.25">
      <c r="C16" s="30"/>
    </row>
    <row r="17" spans="6:9" x14ac:dyDescent="0.25">
      <c r="F17" s="30"/>
    </row>
    <row r="24" spans="6:9" x14ac:dyDescent="0.25">
      <c r="I24" s="30"/>
    </row>
    <row r="26" spans="6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20.28515625" style="5" customWidth="1"/>
    <col min="2" max="5" width="14.85546875" style="5" customWidth="1"/>
    <col min="6" max="7" width="14.85546875" style="1" customWidth="1"/>
    <col min="8" max="13" width="14.85546875" style="5" customWidth="1"/>
    <col min="14" max="14" width="15.42578125" style="5" customWidth="1"/>
    <col min="15" max="15" width="9.140625" style="1"/>
    <col min="16" max="16" width="12.7109375" style="1" bestFit="1" customWidth="1"/>
    <col min="17" max="16384" width="9.140625" style="1"/>
  </cols>
  <sheetData>
    <row r="1" spans="1:16" ht="15.75" x14ac:dyDescent="0.25">
      <c r="L1" s="100" t="s">
        <v>109</v>
      </c>
      <c r="M1" s="100"/>
      <c r="N1" s="100"/>
    </row>
    <row r="2" spans="1:16" ht="18.75" x14ac:dyDescent="0.25">
      <c r="B2" s="101" t="s">
        <v>118</v>
      </c>
      <c r="C2" s="101"/>
      <c r="D2" s="101"/>
      <c r="E2" s="101"/>
      <c r="F2" s="101"/>
    </row>
    <row r="3" spans="1:16" ht="29.25" x14ac:dyDescent="0.25">
      <c r="B3" s="5" t="s">
        <v>102</v>
      </c>
      <c r="M3" s="6" t="s">
        <v>100</v>
      </c>
      <c r="N3" s="7">
        <v>32632484</v>
      </c>
      <c r="P3" s="60"/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22" t="s">
        <v>85</v>
      </c>
      <c r="G4" s="22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ht="15.75" x14ac:dyDescent="0.25">
      <c r="A5" s="11" t="s">
        <v>94</v>
      </c>
      <c r="B5" s="12">
        <v>5747316</v>
      </c>
      <c r="C5" s="12">
        <v>12581458</v>
      </c>
      <c r="D5" s="12">
        <v>18602321</v>
      </c>
      <c r="E5" s="12">
        <v>20821348</v>
      </c>
      <c r="F5" s="48">
        <v>15815033</v>
      </c>
      <c r="G5" s="48">
        <v>12036703</v>
      </c>
      <c r="H5" s="12">
        <v>11917855</v>
      </c>
      <c r="I5" s="12">
        <v>17332598</v>
      </c>
      <c r="J5" s="67">
        <v>14871898</v>
      </c>
      <c r="K5" s="12">
        <v>11629728</v>
      </c>
      <c r="L5" s="12">
        <v>11957458</v>
      </c>
      <c r="M5" s="12">
        <v>17436316</v>
      </c>
      <c r="N5" s="13">
        <f>SUM(B5:M5)</f>
        <v>170750032</v>
      </c>
    </row>
    <row r="6" spans="1:16" ht="15.75" x14ac:dyDescent="0.25">
      <c r="A6" s="11" t="s">
        <v>95</v>
      </c>
      <c r="B6" s="12"/>
      <c r="C6" s="12">
        <v>165604</v>
      </c>
      <c r="D6" s="12"/>
      <c r="E6" s="12">
        <v>2430834</v>
      </c>
      <c r="F6" s="48"/>
      <c r="G6" s="48">
        <v>2238700</v>
      </c>
      <c r="H6" s="12">
        <v>1264940</v>
      </c>
      <c r="I6" s="12">
        <v>2039422</v>
      </c>
      <c r="J6" s="45">
        <v>1800260</v>
      </c>
      <c r="K6" s="12">
        <v>1359998</v>
      </c>
      <c r="L6" s="12"/>
      <c r="M6" s="14">
        <v>189620</v>
      </c>
      <c r="N6" s="13">
        <f t="shared" ref="N6:N9" si="0">SUM(B6:M6)</f>
        <v>11489378</v>
      </c>
    </row>
    <row r="7" spans="1:16" ht="15.75" x14ac:dyDescent="0.25">
      <c r="A7" s="11" t="s">
        <v>96</v>
      </c>
      <c r="B7" s="12"/>
      <c r="C7" s="12"/>
      <c r="D7" s="12"/>
      <c r="E7" s="12">
        <v>3458608</v>
      </c>
      <c r="F7" s="12">
        <f t="shared" ref="F7" si="1">+(F5-F6)*0.07</f>
        <v>1107052.31</v>
      </c>
      <c r="G7" s="12">
        <f>+(G5-G6)*0.07</f>
        <v>685860.21000000008</v>
      </c>
      <c r="H7" s="46">
        <v>745704</v>
      </c>
      <c r="I7" s="12">
        <v>1070522.3844000001</v>
      </c>
      <c r="J7" s="12">
        <f>+(J5-J6)*0.07</f>
        <v>915014.66</v>
      </c>
      <c r="K7" s="12">
        <v>718881.15599999996</v>
      </c>
      <c r="L7" s="12">
        <v>837022.06</v>
      </c>
      <c r="M7" s="14">
        <v>1207269</v>
      </c>
      <c r="N7" s="13">
        <f t="shared" si="0"/>
        <v>10745933.780400001</v>
      </c>
    </row>
    <row r="8" spans="1:16" x14ac:dyDescent="0.25">
      <c r="A8" s="11" t="s">
        <v>97</v>
      </c>
      <c r="B8" s="12"/>
      <c r="C8" s="12"/>
      <c r="D8" s="12"/>
      <c r="E8" s="12"/>
      <c r="F8" s="48"/>
      <c r="G8" s="48"/>
      <c r="H8" s="12"/>
      <c r="I8" s="12"/>
      <c r="J8" s="12"/>
      <c r="K8" s="12"/>
      <c r="L8" s="12"/>
      <c r="M8" s="14">
        <v>21710485</v>
      </c>
      <c r="N8" s="13">
        <f t="shared" si="0"/>
        <v>21710485</v>
      </c>
    </row>
    <row r="9" spans="1:16" x14ac:dyDescent="0.25">
      <c r="A9" s="11" t="s">
        <v>98</v>
      </c>
      <c r="B9" s="12"/>
      <c r="C9" s="12"/>
      <c r="D9" s="12"/>
      <c r="E9" s="12"/>
      <c r="F9" s="48">
        <v>38377704</v>
      </c>
      <c r="G9" s="48"/>
      <c r="H9" s="12">
        <v>45950083</v>
      </c>
      <c r="I9" s="12">
        <v>33727338</v>
      </c>
      <c r="J9" s="12"/>
      <c r="K9" s="12">
        <v>14222655</v>
      </c>
      <c r="L9" s="12"/>
      <c r="M9" s="12"/>
      <c r="N9" s="13">
        <f t="shared" si="0"/>
        <v>132277780</v>
      </c>
    </row>
    <row r="10" spans="1:16" s="17" customFormat="1" ht="14.25" x14ac:dyDescent="0.2">
      <c r="A10" s="15" t="s">
        <v>99</v>
      </c>
      <c r="B10" s="16">
        <f>N3+B5-B6-B7-B8-B9</f>
        <v>38379800</v>
      </c>
      <c r="C10" s="16">
        <f>B10+C5-C6-C7-C8-C9</f>
        <v>50795654</v>
      </c>
      <c r="D10" s="16">
        <f t="shared" ref="D10:F10" si="2">C10+D5-D6-D7-D8-D9</f>
        <v>69397975</v>
      </c>
      <c r="E10" s="16">
        <f t="shared" si="2"/>
        <v>84329881</v>
      </c>
      <c r="F10" s="49">
        <f t="shared" si="2"/>
        <v>60660157.689999998</v>
      </c>
      <c r="G10" s="49">
        <f t="shared" ref="G10" si="3">F10+G5-G6-G7-G8-G9</f>
        <v>69772300.480000004</v>
      </c>
      <c r="H10" s="16">
        <f t="shared" ref="H10:M10" si="4">G10+H5-H6-H7-H8-H9</f>
        <v>33729428.480000004</v>
      </c>
      <c r="I10" s="16">
        <f t="shared" si="4"/>
        <v>14224744.095600002</v>
      </c>
      <c r="J10" s="16">
        <f t="shared" si="4"/>
        <v>26381367.435600001</v>
      </c>
      <c r="K10" s="16">
        <f t="shared" si="4"/>
        <v>21709561.279599994</v>
      </c>
      <c r="L10" s="16">
        <f t="shared" si="4"/>
        <v>32829997.219599996</v>
      </c>
      <c r="M10" s="16">
        <f t="shared" si="4"/>
        <v>27158939.219599992</v>
      </c>
      <c r="N10" s="13">
        <f>N3+N5-N6-N7-N8-N9</f>
        <v>27158939.219599992</v>
      </c>
      <c r="P10" s="94"/>
    </row>
    <row r="11" spans="1:16" x14ac:dyDescent="0.25">
      <c r="E11" s="5" t="s">
        <v>162</v>
      </c>
    </row>
    <row r="13" spans="1:16" x14ac:dyDescent="0.25">
      <c r="B13" s="1"/>
      <c r="J13" s="30">
        <f>+J5-J6-J7</f>
        <v>12156623.34</v>
      </c>
      <c r="K13" s="30">
        <f>+K5-K6-K7</f>
        <v>9550848.8440000005</v>
      </c>
    </row>
    <row r="14" spans="1:16" x14ac:dyDescent="0.25">
      <c r="B14" s="1"/>
      <c r="C14" s="30"/>
      <c r="D14" s="30"/>
      <c r="E14" s="30"/>
      <c r="K14" s="30"/>
    </row>
    <row r="16" spans="1:16" ht="15.75" x14ac:dyDescent="0.25">
      <c r="C16" s="30"/>
      <c r="E16" s="30"/>
      <c r="K16" s="91"/>
    </row>
    <row r="17" spans="7:11" ht="15.75" x14ac:dyDescent="0.25">
      <c r="K17" s="92"/>
    </row>
    <row r="18" spans="7:11" x14ac:dyDescent="0.25">
      <c r="K18" s="79"/>
    </row>
    <row r="26" spans="7:11" x14ac:dyDescent="0.25">
      <c r="G26" s="50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5" width="11.5703125" style="1" bestFit="1" customWidth="1"/>
    <col min="16" max="16384" width="9.140625" style="1"/>
  </cols>
  <sheetData>
    <row r="1" spans="1:15" ht="15.75" x14ac:dyDescent="0.25">
      <c r="L1" s="100" t="s">
        <v>109</v>
      </c>
      <c r="M1" s="100"/>
      <c r="N1" s="100"/>
    </row>
    <row r="2" spans="1:15" ht="18.75" x14ac:dyDescent="0.25">
      <c r="B2" s="101" t="s">
        <v>31</v>
      </c>
      <c r="C2" s="101"/>
      <c r="D2" s="101"/>
      <c r="E2" s="101"/>
      <c r="F2" s="101"/>
    </row>
    <row r="3" spans="1:15" ht="29.25" x14ac:dyDescent="0.25">
      <c r="B3" s="5" t="s">
        <v>102</v>
      </c>
      <c r="M3" s="6" t="s">
        <v>100</v>
      </c>
      <c r="N3" s="7">
        <v>78291302</v>
      </c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>
        <v>12398181</v>
      </c>
      <c r="C5" s="12">
        <v>10642091</v>
      </c>
      <c r="D5" s="12">
        <v>4249022</v>
      </c>
      <c r="E5" s="12">
        <v>9764499</v>
      </c>
      <c r="F5" s="12">
        <v>6808032</v>
      </c>
      <c r="G5" s="12">
        <v>4334053</v>
      </c>
      <c r="H5" s="12">
        <v>3705006</v>
      </c>
      <c r="I5" s="12">
        <v>4640202</v>
      </c>
      <c r="J5" s="12"/>
      <c r="K5" s="12">
        <v>3732235</v>
      </c>
      <c r="L5" s="12">
        <v>2096647</v>
      </c>
      <c r="M5" s="12"/>
      <c r="N5" s="13">
        <f>SUM(B5:M5)</f>
        <v>62369968</v>
      </c>
    </row>
    <row r="6" spans="1:15" x14ac:dyDescent="0.25">
      <c r="A6" s="11" t="s">
        <v>95</v>
      </c>
      <c r="B6" s="12"/>
      <c r="C6" s="12"/>
      <c r="D6" s="12">
        <v>464222</v>
      </c>
      <c r="E6" s="12">
        <v>136812</v>
      </c>
      <c r="F6" s="12">
        <v>485821</v>
      </c>
      <c r="G6" s="12">
        <v>627783</v>
      </c>
      <c r="H6" s="12">
        <v>165881</v>
      </c>
      <c r="I6" s="12">
        <v>693532</v>
      </c>
      <c r="J6" s="12">
        <v>58096</v>
      </c>
      <c r="K6" s="12">
        <v>571881</v>
      </c>
      <c r="L6" s="12">
        <v>402978</v>
      </c>
      <c r="M6" s="14"/>
      <c r="N6" s="13">
        <f t="shared" ref="N6:N9" si="0">SUM(B6:M6)</f>
        <v>3607006</v>
      </c>
      <c r="O6" s="60"/>
    </row>
    <row r="7" spans="1:15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/>
      <c r="D9" s="12"/>
      <c r="E9" s="12"/>
      <c r="F9" s="12"/>
      <c r="G9" s="12">
        <v>19656497</v>
      </c>
      <c r="H9" s="12"/>
      <c r="I9" s="12">
        <v>58634805</v>
      </c>
      <c r="J9" s="12"/>
      <c r="K9" s="12">
        <v>23040272</v>
      </c>
      <c r="L9" s="12">
        <v>24052961</v>
      </c>
      <c r="M9" s="12"/>
      <c r="N9" s="13">
        <f t="shared" si="0"/>
        <v>125384535</v>
      </c>
    </row>
    <row r="10" spans="1:15" s="17" customFormat="1" ht="14.25" x14ac:dyDescent="0.2">
      <c r="A10" s="15" t="s">
        <v>99</v>
      </c>
      <c r="B10" s="16">
        <f>N3+B5-B6-B7-B8-B9</f>
        <v>90689483</v>
      </c>
      <c r="C10" s="16">
        <f>B10+C5-C6-C7-C8-C9</f>
        <v>101331574</v>
      </c>
      <c r="D10" s="16">
        <f t="shared" ref="D10:F10" si="1">C10+D5-D6-D7-D8-D9</f>
        <v>105116374</v>
      </c>
      <c r="E10" s="16">
        <f t="shared" si="1"/>
        <v>114744061</v>
      </c>
      <c r="F10" s="16">
        <f t="shared" si="1"/>
        <v>121066272</v>
      </c>
      <c r="G10" s="16">
        <f t="shared" ref="G10" si="2">F10+G5-G6-G7-G8-G9</f>
        <v>105116045</v>
      </c>
      <c r="H10" s="16">
        <f t="shared" ref="H10" si="3">G10+H5-H6-H7-H8-H9</f>
        <v>108655170</v>
      </c>
      <c r="I10" s="16">
        <f>H10+I5-I6-I7-I8-I9</f>
        <v>53967035</v>
      </c>
      <c r="J10" s="16">
        <f>I10+J5-J6-J7-J8-J9</f>
        <v>53908939</v>
      </c>
      <c r="K10" s="16">
        <f>J10+K5-K6-K7-K8-K9</f>
        <v>34029021</v>
      </c>
      <c r="L10" s="16">
        <f>K10+L5-L6-L7-L8-L9</f>
        <v>11669729</v>
      </c>
      <c r="M10" s="16"/>
      <c r="N10" s="13">
        <f>N3+N5-N6-N7-N8-N9</f>
        <v>11669729</v>
      </c>
    </row>
    <row r="11" spans="1:15" ht="45" x14ac:dyDescent="0.25">
      <c r="K11" s="5" t="s">
        <v>192</v>
      </c>
      <c r="L11" s="5" t="s">
        <v>201</v>
      </c>
    </row>
    <row r="13" spans="1:15" x14ac:dyDescent="0.25">
      <c r="B13" s="1"/>
    </row>
    <row r="26" spans="7:7" x14ac:dyDescent="0.25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120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115468476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>
        <v>3183769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3183769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>
        <v>10803451</v>
      </c>
      <c r="J9" s="12"/>
      <c r="K9" s="12"/>
      <c r="L9" s="12"/>
      <c r="M9" s="12"/>
      <c r="N9" s="13">
        <f t="shared" si="0"/>
        <v>10803451</v>
      </c>
    </row>
    <row r="10" spans="1:14" s="17" customFormat="1" ht="14.25" x14ac:dyDescent="0.2">
      <c r="A10" s="15" t="s">
        <v>99</v>
      </c>
      <c r="B10" s="16">
        <f>N3+B5-B6-B7-B8-B9</f>
        <v>112284707</v>
      </c>
      <c r="C10" s="16">
        <f>B10+C5-C6-C7-C8-C9</f>
        <v>112284707</v>
      </c>
      <c r="D10" s="16">
        <f t="shared" ref="D10:K10" si="1">C10+D5-D6-D7-D8-D9</f>
        <v>112284707</v>
      </c>
      <c r="E10" s="16">
        <f t="shared" si="1"/>
        <v>112284707</v>
      </c>
      <c r="F10" s="16">
        <f t="shared" si="1"/>
        <v>112284707</v>
      </c>
      <c r="G10" s="16">
        <f t="shared" si="1"/>
        <v>112284707</v>
      </c>
      <c r="H10" s="16">
        <f t="shared" si="1"/>
        <v>112284707</v>
      </c>
      <c r="I10" s="16">
        <f t="shared" si="1"/>
        <v>101481256</v>
      </c>
      <c r="J10" s="16">
        <f t="shared" si="1"/>
        <v>101481256</v>
      </c>
      <c r="K10" s="16">
        <f t="shared" si="1"/>
        <v>101481256</v>
      </c>
      <c r="L10" s="16"/>
      <c r="M10" s="16"/>
      <c r="N10" s="13">
        <f>N3+N5-N6-N7-N8-N9</f>
        <v>101481256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32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12105978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12">
        <v>5104689</v>
      </c>
      <c r="C5" s="12">
        <v>13585632</v>
      </c>
      <c r="D5" s="12">
        <v>9129253</v>
      </c>
      <c r="E5" s="12">
        <v>7984084</v>
      </c>
      <c r="F5" s="12">
        <v>8850537</v>
      </c>
      <c r="G5" s="12">
        <v>19786952</v>
      </c>
      <c r="H5" s="27">
        <v>15345619</v>
      </c>
      <c r="I5" s="12">
        <v>13181536</v>
      </c>
      <c r="J5" s="12">
        <v>5649341</v>
      </c>
      <c r="K5" s="12">
        <v>8075068</v>
      </c>
      <c r="L5" s="12">
        <v>8868863</v>
      </c>
      <c r="M5" s="12">
        <v>12573001</v>
      </c>
      <c r="N5" s="13">
        <f>SUM(B5:M5)</f>
        <v>128134575</v>
      </c>
    </row>
    <row r="6" spans="1:14" ht="15.75" x14ac:dyDescent="0.25">
      <c r="A6" s="11" t="s">
        <v>95</v>
      </c>
      <c r="B6" s="12"/>
      <c r="C6" s="12"/>
      <c r="D6" s="12"/>
      <c r="E6" s="12">
        <v>220286</v>
      </c>
      <c r="F6" s="12">
        <v>183473</v>
      </c>
      <c r="G6" s="12"/>
      <c r="H6" s="53">
        <v>722506.4</v>
      </c>
      <c r="I6" s="12">
        <v>76735</v>
      </c>
      <c r="J6" s="12">
        <v>632365</v>
      </c>
      <c r="K6" s="12">
        <v>431806</v>
      </c>
      <c r="L6" s="12">
        <v>717198</v>
      </c>
      <c r="M6" s="14">
        <v>116652</v>
      </c>
      <c r="N6" s="13">
        <f t="shared" ref="N6:N9" si="0">SUM(B6:M6)</f>
        <v>3101021.4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12105978</v>
      </c>
      <c r="C9" s="12"/>
      <c r="D9" s="12">
        <v>5104701</v>
      </c>
      <c r="E9" s="12"/>
      <c r="F9" s="12"/>
      <c r="G9" s="12">
        <v>22714898</v>
      </c>
      <c r="H9" s="12">
        <v>16430918</v>
      </c>
      <c r="I9" s="12"/>
      <c r="J9" s="12">
        <v>19787004</v>
      </c>
      <c r="K9" s="12">
        <v>14623065</v>
      </c>
      <c r="L9" s="12"/>
      <c r="M9" s="12"/>
      <c r="N9" s="13">
        <f t="shared" si="0"/>
        <v>90766564</v>
      </c>
    </row>
    <row r="10" spans="1:14" s="17" customFormat="1" ht="14.25" x14ac:dyDescent="0.2">
      <c r="A10" s="15" t="s">
        <v>99</v>
      </c>
      <c r="B10" s="16">
        <f>N3+B5-B6-B7-B8-B9</f>
        <v>5104689</v>
      </c>
      <c r="C10" s="16">
        <f>B10+C5-C6-C7-C8-C9</f>
        <v>18690321</v>
      </c>
      <c r="D10" s="16">
        <f t="shared" ref="D10:E10" si="1">C10+D5-D6-D7-D8-D9</f>
        <v>22714873</v>
      </c>
      <c r="E10" s="16">
        <f t="shared" si="1"/>
        <v>30478671</v>
      </c>
      <c r="F10" s="16">
        <f>E10+F5-F6-F7-F8-F9</f>
        <v>39145735</v>
      </c>
      <c r="G10" s="16">
        <f t="shared" ref="G10:M10" si="2">F10+G5-G6-G7-G8-G9</f>
        <v>36217789</v>
      </c>
      <c r="H10" s="16">
        <f t="shared" si="2"/>
        <v>34409983.600000001</v>
      </c>
      <c r="I10" s="16">
        <f t="shared" si="2"/>
        <v>47514784.600000001</v>
      </c>
      <c r="J10" s="16">
        <f t="shared" si="2"/>
        <v>32744756.600000001</v>
      </c>
      <c r="K10" s="16">
        <f t="shared" si="2"/>
        <v>25764953.600000001</v>
      </c>
      <c r="L10" s="16">
        <f t="shared" si="2"/>
        <v>33916618.600000001</v>
      </c>
      <c r="M10" s="16">
        <f t="shared" si="2"/>
        <v>46372967.600000001</v>
      </c>
      <c r="N10" s="13">
        <f>N3+N5-N6-N7-N8-N9</f>
        <v>46372967.599999994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119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1258123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912580</v>
      </c>
      <c r="C5" s="12">
        <v>985644</v>
      </c>
      <c r="D5" s="12">
        <v>5551145</v>
      </c>
      <c r="E5" s="12">
        <v>3512613</v>
      </c>
      <c r="F5" s="12">
        <v>4511535</v>
      </c>
      <c r="G5" s="12">
        <v>1445120</v>
      </c>
      <c r="H5" s="12">
        <v>4648163</v>
      </c>
      <c r="I5" s="12">
        <v>967729</v>
      </c>
      <c r="J5" s="12">
        <v>4184019</v>
      </c>
      <c r="K5" s="12">
        <v>967729</v>
      </c>
      <c r="L5" s="12"/>
      <c r="M5" s="12"/>
      <c r="N5" s="13">
        <f>SUM(B5:M5)</f>
        <v>27686277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>
        <v>9125.8000000000011</v>
      </c>
      <c r="C7" s="12">
        <v>9856.44</v>
      </c>
      <c r="D7" s="12">
        <v>55511.450000000004</v>
      </c>
      <c r="E7" s="12">
        <v>35126.129999999997</v>
      </c>
      <c r="F7" s="12">
        <v>41013.94</v>
      </c>
      <c r="G7" s="12">
        <v>13137</v>
      </c>
      <c r="H7" s="12">
        <v>46482</v>
      </c>
      <c r="I7" s="12">
        <v>9678</v>
      </c>
      <c r="J7" s="12">
        <v>41840</v>
      </c>
      <c r="K7" s="12">
        <v>9678</v>
      </c>
      <c r="L7" s="12"/>
      <c r="M7" s="14"/>
      <c r="N7" s="13">
        <f t="shared" si="0"/>
        <v>271448.76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2346812</v>
      </c>
      <c r="D9" s="12"/>
      <c r="E9" s="12"/>
      <c r="F9" s="12"/>
      <c r="G9" s="12"/>
      <c r="H9" s="12">
        <v>15666177</v>
      </c>
      <c r="I9" s="12"/>
      <c r="J9" s="12"/>
      <c r="K9" s="12"/>
      <c r="L9" s="12"/>
      <c r="M9" s="12"/>
      <c r="N9" s="13">
        <f t="shared" si="0"/>
        <v>18012989</v>
      </c>
    </row>
    <row r="10" spans="1:14" s="17" customFormat="1" ht="14.25" x14ac:dyDescent="0.2">
      <c r="A10" s="15" t="s">
        <v>99</v>
      </c>
      <c r="B10" s="16">
        <f>N3+B5-B6-B7-B8-B9</f>
        <v>2161577.2000000002</v>
      </c>
      <c r="C10" s="16">
        <f>B10+C5-C6-C7-C8-C9</f>
        <v>790552.76000000024</v>
      </c>
      <c r="D10" s="16">
        <f t="shared" ref="D10" si="1">C10+D5-D6-D7-D8-D9</f>
        <v>6286186.3099999996</v>
      </c>
      <c r="E10" s="16">
        <f>D10+E5-E6-E7-E8-E9</f>
        <v>9763673.1799999978</v>
      </c>
      <c r="F10" s="16">
        <f>E10+F5-F6-F7-F8-F9</f>
        <v>14234194.239999998</v>
      </c>
      <c r="G10" s="16">
        <f t="shared" ref="G10:M10" si="2">F10+G5-G6-G7-G8-G9</f>
        <v>15666177.239999998</v>
      </c>
      <c r="H10" s="16">
        <f t="shared" si="2"/>
        <v>4601681.2399999984</v>
      </c>
      <c r="I10" s="16">
        <f t="shared" si="2"/>
        <v>5559732.2399999984</v>
      </c>
      <c r="J10" s="16">
        <f t="shared" si="2"/>
        <v>9701911.2399999984</v>
      </c>
      <c r="K10" s="16">
        <f t="shared" si="2"/>
        <v>10659962.239999998</v>
      </c>
      <c r="L10" s="16">
        <f t="shared" si="2"/>
        <v>10659962.239999998</v>
      </c>
      <c r="M10" s="16">
        <f t="shared" si="2"/>
        <v>10659962.239999998</v>
      </c>
      <c r="N10" s="13">
        <f>N3+N5-N6-N7-N8-N9</f>
        <v>10659962.239999998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E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4.7109375" style="5" customWidth="1"/>
    <col min="14" max="14" width="15.42578125" style="5" customWidth="1"/>
    <col min="15" max="15" width="16.85546875" style="1" bestFit="1" customWidth="1"/>
    <col min="16" max="16" width="15.7109375" style="1" bestFit="1" customWidth="1"/>
    <col min="17" max="16384" width="9.140625" style="1"/>
  </cols>
  <sheetData>
    <row r="1" spans="1:16" ht="15.75" x14ac:dyDescent="0.25">
      <c r="L1" s="100" t="s">
        <v>109</v>
      </c>
      <c r="M1" s="100"/>
      <c r="N1" s="100"/>
    </row>
    <row r="2" spans="1:16" ht="18.75" x14ac:dyDescent="0.25">
      <c r="B2" s="101" t="s">
        <v>121</v>
      </c>
      <c r="C2" s="101"/>
      <c r="D2" s="101"/>
      <c r="E2" s="101"/>
      <c r="F2" s="101"/>
    </row>
    <row r="3" spans="1:16" ht="29.25" x14ac:dyDescent="0.25">
      <c r="B3" s="5" t="s">
        <v>102</v>
      </c>
      <c r="M3" s="6" t="s">
        <v>100</v>
      </c>
      <c r="N3" s="7">
        <v>30678730</v>
      </c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12"/>
      <c r="C5" s="12">
        <v>43856334</v>
      </c>
      <c r="D5" s="12">
        <v>241243048</v>
      </c>
      <c r="E5" s="12">
        <v>38977133</v>
      </c>
      <c r="F5" s="12">
        <v>33287184</v>
      </c>
      <c r="G5" s="12">
        <v>18646802</v>
      </c>
      <c r="H5" s="12">
        <v>36159496</v>
      </c>
      <c r="I5" s="12">
        <v>28160132</v>
      </c>
      <c r="J5" s="12">
        <v>28378430</v>
      </c>
      <c r="K5" s="12">
        <v>26413769</v>
      </c>
      <c r="L5" s="12">
        <v>24012517</v>
      </c>
      <c r="M5" s="12">
        <v>25322291</v>
      </c>
      <c r="N5" s="13">
        <f>SUM(B5:M5)</f>
        <v>544457136</v>
      </c>
    </row>
    <row r="6" spans="1:16" x14ac:dyDescent="0.25">
      <c r="A6" s="11" t="s">
        <v>95</v>
      </c>
      <c r="B6" s="12">
        <v>544500</v>
      </c>
      <c r="C6" s="12">
        <v>2268031</v>
      </c>
      <c r="D6" s="12">
        <v>2779393</v>
      </c>
      <c r="E6" s="12">
        <v>1645470</v>
      </c>
      <c r="F6" s="12">
        <v>1486018</v>
      </c>
      <c r="G6" s="12">
        <v>1202534</v>
      </c>
      <c r="H6" s="12">
        <v>3036187</v>
      </c>
      <c r="I6" s="12">
        <v>1617262</v>
      </c>
      <c r="J6" s="12">
        <v>2976312</v>
      </c>
      <c r="K6" s="12">
        <v>2619553</v>
      </c>
      <c r="L6" s="12">
        <v>764036</v>
      </c>
      <c r="M6" s="14"/>
      <c r="N6" s="13">
        <f t="shared" ref="N6:N9" si="0">SUM(B6:M6)</f>
        <v>20939296</v>
      </c>
    </row>
    <row r="7" spans="1:16" x14ac:dyDescent="0.25">
      <c r="A7" s="11" t="s">
        <v>96</v>
      </c>
      <c r="B7" s="12">
        <v>262358</v>
      </c>
      <c r="C7" s="12"/>
      <c r="D7" s="12">
        <v>20000</v>
      </c>
      <c r="E7" s="12">
        <v>174472</v>
      </c>
      <c r="F7" s="12"/>
      <c r="G7" s="12">
        <v>4080000</v>
      </c>
      <c r="H7" s="12">
        <v>2418654</v>
      </c>
      <c r="I7" s="12">
        <v>220000</v>
      </c>
      <c r="J7" s="12">
        <v>620000</v>
      </c>
      <c r="K7" s="12">
        <v>2691884</v>
      </c>
      <c r="L7" s="12">
        <v>420000</v>
      </c>
      <c r="M7" s="14">
        <v>220000</v>
      </c>
      <c r="N7" s="13">
        <f t="shared" si="0"/>
        <v>11127368</v>
      </c>
    </row>
    <row r="8" spans="1:16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 x14ac:dyDescent="0.25">
      <c r="A9" s="11" t="s">
        <v>98</v>
      </c>
      <c r="B9" s="12"/>
      <c r="C9" s="12">
        <v>11121920</v>
      </c>
      <c r="D9" s="12">
        <v>14641922</v>
      </c>
      <c r="E9" s="12"/>
      <c r="F9" s="12"/>
      <c r="G9" s="12">
        <v>126579556</v>
      </c>
      <c r="H9" s="12">
        <v>61717868</v>
      </c>
      <c r="I9" s="12">
        <v>134946775</v>
      </c>
      <c r="J9" s="12">
        <v>26322870</v>
      </c>
      <c r="K9" s="12">
        <v>92715009</v>
      </c>
      <c r="L9" s="12">
        <v>27092511</v>
      </c>
      <c r="M9" s="12">
        <v>22828481</v>
      </c>
      <c r="N9" s="13">
        <f t="shared" si="0"/>
        <v>517966912</v>
      </c>
    </row>
    <row r="10" spans="1:16" s="17" customFormat="1" x14ac:dyDescent="0.25">
      <c r="A10" s="15" t="s">
        <v>99</v>
      </c>
      <c r="B10" s="16">
        <f>N3+B5-B6-B7-B8-B9</f>
        <v>29871872</v>
      </c>
      <c r="C10" s="16">
        <f>B10+C5-C6-C7-C8-C9</f>
        <v>60338255</v>
      </c>
      <c r="D10" s="16">
        <f t="shared" ref="D10:F10" si="1">C10+D5-D6-D7-D8-D9</f>
        <v>284139988</v>
      </c>
      <c r="E10" s="16">
        <f t="shared" si="1"/>
        <v>321297179</v>
      </c>
      <c r="F10" s="16">
        <f t="shared" si="1"/>
        <v>353098345</v>
      </c>
      <c r="G10" s="16">
        <f t="shared" ref="G10" si="2">F10+G5-G6-G7-G8-G9</f>
        <v>239883057</v>
      </c>
      <c r="H10" s="16">
        <f t="shared" ref="H10:M10" si="3">G10+H5-H6-H7-H8-H9</f>
        <v>208869844</v>
      </c>
      <c r="I10" s="16">
        <f t="shared" si="3"/>
        <v>100245939</v>
      </c>
      <c r="J10" s="16">
        <f t="shared" si="3"/>
        <v>98705187</v>
      </c>
      <c r="K10" s="16">
        <f t="shared" si="3"/>
        <v>27092510</v>
      </c>
      <c r="L10" s="16">
        <f t="shared" si="3"/>
        <v>22828480</v>
      </c>
      <c r="M10" s="16">
        <f t="shared" si="3"/>
        <v>25102290</v>
      </c>
      <c r="N10" s="13">
        <f>N3+N5-N6-N7-N8-N9</f>
        <v>25102290</v>
      </c>
      <c r="O10" s="1"/>
      <c r="P10" s="1"/>
    </row>
    <row r="12" spans="1:16" x14ac:dyDescent="0.25">
      <c r="G12" s="1"/>
    </row>
    <row r="14" spans="1:16" x14ac:dyDescent="0.25">
      <c r="D14" s="30"/>
      <c r="G14" s="65"/>
      <c r="H14" s="65"/>
      <c r="I14" s="30"/>
      <c r="J14" s="30"/>
      <c r="K14" s="30"/>
    </row>
    <row r="16" spans="1:16" x14ac:dyDescent="0.25">
      <c r="G16" s="30"/>
      <c r="H16" s="30"/>
      <c r="I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40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12989320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3763807</v>
      </c>
      <c r="C5" s="12">
        <v>1906417</v>
      </c>
      <c r="D5" s="12">
        <v>1853227</v>
      </c>
      <c r="E5" s="12">
        <v>535967</v>
      </c>
      <c r="F5" s="12">
        <v>1119989</v>
      </c>
      <c r="G5" s="12">
        <v>662264</v>
      </c>
      <c r="H5" s="12"/>
      <c r="I5" s="12"/>
      <c r="J5" s="12"/>
      <c r="K5" s="12"/>
      <c r="L5" s="12"/>
      <c r="M5" s="12"/>
      <c r="N5" s="13">
        <f>SUM(B5:M5)</f>
        <v>9841671</v>
      </c>
    </row>
    <row r="6" spans="1:14" x14ac:dyDescent="0.25">
      <c r="A6" s="11" t="s">
        <v>95</v>
      </c>
      <c r="B6" s="12">
        <v>237245</v>
      </c>
      <c r="C6" s="12"/>
      <c r="D6" s="12"/>
      <c r="E6" s="12"/>
      <c r="F6" s="12"/>
      <c r="G6" s="12"/>
      <c r="H6" s="12">
        <v>4902565</v>
      </c>
      <c r="I6" s="12"/>
      <c r="J6" s="12"/>
      <c r="K6" s="12"/>
      <c r="L6" s="12"/>
      <c r="M6" s="14"/>
      <c r="N6" s="13">
        <f t="shared" ref="N6:N9" si="0">SUM(B6:M6)</f>
        <v>5139810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>
        <v>-20326</v>
      </c>
      <c r="I7" s="12"/>
      <c r="J7" s="12"/>
      <c r="K7" s="12"/>
      <c r="L7" s="12"/>
      <c r="M7" s="14"/>
      <c r="N7" s="13">
        <f t="shared" si="0"/>
        <v>-20326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>
        <v>18422714</v>
      </c>
      <c r="G9" s="12">
        <v>2369508</v>
      </c>
      <c r="H9" s="12"/>
      <c r="I9" s="12"/>
      <c r="J9" s="12"/>
      <c r="K9" s="12"/>
      <c r="L9" s="12"/>
      <c r="M9" s="12"/>
      <c r="N9" s="13">
        <f t="shared" si="0"/>
        <v>20792222</v>
      </c>
    </row>
    <row r="10" spans="1:14" s="17" customFormat="1" ht="14.25" x14ac:dyDescent="0.2">
      <c r="A10" s="15" t="s">
        <v>99</v>
      </c>
      <c r="B10" s="16">
        <f>N3+B5-B6-B7-B8-B9</f>
        <v>16515882</v>
      </c>
      <c r="C10" s="16">
        <f>B10+C5-C6-C7-C8-C9</f>
        <v>18422299</v>
      </c>
      <c r="D10" s="16">
        <f t="shared" ref="D10:F10" si="1">C10+D5-D6-D7-D8-D9</f>
        <v>20275526</v>
      </c>
      <c r="E10" s="16">
        <f t="shared" si="1"/>
        <v>20811493</v>
      </c>
      <c r="F10" s="16">
        <f t="shared" si="1"/>
        <v>3508768</v>
      </c>
      <c r="G10" s="16">
        <f t="shared" ref="G10" si="2">F10+G5-G6-G7-G8-G9</f>
        <v>1801524</v>
      </c>
      <c r="H10" s="16">
        <f t="shared" ref="H10" si="3">G10+H5-H6-H7-H8-H9</f>
        <v>-3080715</v>
      </c>
      <c r="I10" s="16">
        <f t="shared" ref="I10" si="4">H10+I5-I6-I7-I8-I9</f>
        <v>-3080715</v>
      </c>
      <c r="J10" s="16">
        <f t="shared" ref="J10" si="5">I10+J5-J6-J7-J8-J9</f>
        <v>-3080715</v>
      </c>
      <c r="K10" s="16">
        <f t="shared" ref="K10" si="6">J10+K5-K6-K7-K8-K9</f>
        <v>-3080715</v>
      </c>
      <c r="L10" s="16"/>
      <c r="M10" s="16"/>
      <c r="N10" s="13">
        <f>N3+N5-N6-N7-N8-N9</f>
        <v>-3080715</v>
      </c>
    </row>
    <row r="13" spans="1:14" x14ac:dyDescent="0.25">
      <c r="B13" s="1" t="s">
        <v>153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opLeftCell="D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5" width="9.140625" style="1"/>
    <col min="16" max="16" width="10.28515625" style="1" bestFit="1" customWidth="1"/>
    <col min="17" max="16384" width="9.140625" style="1"/>
  </cols>
  <sheetData>
    <row r="1" spans="1:16" ht="15.75" x14ac:dyDescent="0.25">
      <c r="L1" s="100" t="s">
        <v>109</v>
      </c>
      <c r="M1" s="100"/>
      <c r="N1" s="100"/>
    </row>
    <row r="2" spans="1:16" ht="18.75" x14ac:dyDescent="0.25">
      <c r="B2" s="101" t="s">
        <v>36</v>
      </c>
      <c r="C2" s="101"/>
      <c r="D2" s="101"/>
      <c r="E2" s="101"/>
      <c r="F2" s="101"/>
    </row>
    <row r="3" spans="1:16" ht="29.25" x14ac:dyDescent="0.25">
      <c r="B3" s="5" t="s">
        <v>102</v>
      </c>
      <c r="M3" s="6" t="s">
        <v>100</v>
      </c>
      <c r="N3" s="7">
        <v>64984892</v>
      </c>
      <c r="P3" s="60"/>
    </row>
    <row r="4" spans="1:16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6" x14ac:dyDescent="0.25">
      <c r="A5" s="11" t="s">
        <v>94</v>
      </c>
      <c r="B5" s="12">
        <v>11036434</v>
      </c>
      <c r="C5" s="12">
        <v>7368148</v>
      </c>
      <c r="D5" s="12">
        <v>11484631</v>
      </c>
      <c r="E5" s="12">
        <v>9323476</v>
      </c>
      <c r="F5" s="12">
        <v>7771311</v>
      </c>
      <c r="G5" s="12">
        <v>13833962</v>
      </c>
      <c r="H5" s="12">
        <v>10885144</v>
      </c>
      <c r="I5" s="12">
        <v>12026352</v>
      </c>
      <c r="J5" s="12">
        <v>6801899</v>
      </c>
      <c r="K5" s="12">
        <v>10230445</v>
      </c>
      <c r="L5" s="12">
        <v>14408937</v>
      </c>
      <c r="M5" s="12">
        <v>15609286</v>
      </c>
      <c r="N5" s="13">
        <f>SUM(B5:M5)</f>
        <v>130780025</v>
      </c>
    </row>
    <row r="6" spans="1:16" x14ac:dyDescent="0.25">
      <c r="A6" s="11" t="s">
        <v>95</v>
      </c>
      <c r="B6" s="12">
        <v>2158881</v>
      </c>
      <c r="C6" s="12">
        <v>6992179</v>
      </c>
      <c r="D6" s="12">
        <v>3333066</v>
      </c>
      <c r="E6" s="12">
        <v>1386041</v>
      </c>
      <c r="F6" s="12">
        <v>1121422</v>
      </c>
      <c r="G6" s="12">
        <v>1612375</v>
      </c>
      <c r="H6" s="12">
        <v>2335276</v>
      </c>
      <c r="I6" s="12">
        <v>4589446</v>
      </c>
      <c r="J6" s="12">
        <v>736912</v>
      </c>
      <c r="K6" s="12">
        <v>2266356</v>
      </c>
      <c r="L6" s="12">
        <v>1446923</v>
      </c>
      <c r="M6" s="14">
        <v>115732</v>
      </c>
      <c r="N6" s="13">
        <f t="shared" ref="N6:N9" si="0">SUM(B6:M6)</f>
        <v>28094609</v>
      </c>
    </row>
    <row r="7" spans="1:16" x14ac:dyDescent="0.25">
      <c r="A7" s="11" t="s">
        <v>96</v>
      </c>
      <c r="B7" s="12"/>
      <c r="C7" s="12"/>
      <c r="D7" s="12"/>
      <c r="E7" s="12"/>
      <c r="F7" s="12">
        <v>1310880</v>
      </c>
      <c r="G7" s="12"/>
      <c r="H7" s="12"/>
      <c r="I7" s="12"/>
      <c r="J7" s="12"/>
      <c r="K7" s="12"/>
      <c r="L7" s="12"/>
      <c r="M7" s="14"/>
      <c r="N7" s="13">
        <f t="shared" si="0"/>
        <v>1310880</v>
      </c>
    </row>
    <row r="8" spans="1:16" x14ac:dyDescent="0.25">
      <c r="A8" s="11" t="s">
        <v>140</v>
      </c>
      <c r="B8" s="12"/>
      <c r="C8" s="12"/>
      <c r="D8" s="12"/>
      <c r="E8" s="12"/>
      <c r="F8" s="12"/>
      <c r="G8" s="12"/>
      <c r="H8" s="12"/>
      <c r="I8" s="12">
        <v>7700</v>
      </c>
      <c r="J8" s="12"/>
      <c r="K8" s="12"/>
      <c r="L8" s="12"/>
      <c r="M8" s="14"/>
      <c r="N8" s="13">
        <f t="shared" si="0"/>
        <v>7700</v>
      </c>
    </row>
    <row r="9" spans="1:16" x14ac:dyDescent="0.25">
      <c r="A9" s="11" t="s">
        <v>98</v>
      </c>
      <c r="B9" s="12"/>
      <c r="C9" s="12"/>
      <c r="D9" s="12"/>
      <c r="E9" s="12"/>
      <c r="F9" s="12">
        <v>74351799</v>
      </c>
      <c r="G9" s="12">
        <v>5339009</v>
      </c>
      <c r="H9" s="12"/>
      <c r="I9" s="12">
        <v>20763755</v>
      </c>
      <c r="J9" s="12"/>
      <c r="K9" s="12">
        <v>13501893</v>
      </c>
      <c r="L9" s="12">
        <v>7964089</v>
      </c>
      <c r="M9" s="12">
        <v>10908969</v>
      </c>
      <c r="N9" s="13">
        <f t="shared" si="0"/>
        <v>132829514</v>
      </c>
    </row>
    <row r="10" spans="1:16" s="17" customFormat="1" ht="14.25" x14ac:dyDescent="0.2">
      <c r="A10" s="15" t="s">
        <v>99</v>
      </c>
      <c r="B10" s="16">
        <f>N3+B5-B6-B7-B8-B9</f>
        <v>73862445</v>
      </c>
      <c r="C10" s="16">
        <f>B10+C5-C6-C7-C8-C9</f>
        <v>74238414</v>
      </c>
      <c r="D10" s="16">
        <f t="shared" ref="D10:F10" si="1">C10+D5-D6-D7-D8-D9</f>
        <v>82389979</v>
      </c>
      <c r="E10" s="16">
        <f t="shared" si="1"/>
        <v>90327414</v>
      </c>
      <c r="F10" s="16">
        <f t="shared" si="1"/>
        <v>21314624</v>
      </c>
      <c r="G10" s="16">
        <f t="shared" ref="G10" si="2">F10+G5-G6-G7-G8-G9</f>
        <v>28197202</v>
      </c>
      <c r="H10" s="16">
        <f t="shared" ref="H10:M10" si="3">G10+H5-H6-H7-H8-H9</f>
        <v>36747070</v>
      </c>
      <c r="I10" s="16">
        <f t="shared" si="3"/>
        <v>23412521</v>
      </c>
      <c r="J10" s="16">
        <f t="shared" si="3"/>
        <v>29477508</v>
      </c>
      <c r="K10" s="16">
        <f t="shared" si="3"/>
        <v>23939704</v>
      </c>
      <c r="L10" s="16">
        <f t="shared" si="3"/>
        <v>28937629</v>
      </c>
      <c r="M10" s="16">
        <f t="shared" si="3"/>
        <v>33522214</v>
      </c>
      <c r="N10" s="13">
        <f>N3+N5-N6-N7-N8-N9</f>
        <v>33522214</v>
      </c>
    </row>
    <row r="13" spans="1:16" x14ac:dyDescent="0.25">
      <c r="I13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122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30276419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51">
        <v>15150422</v>
      </c>
      <c r="C5" s="51">
        <v>28164453</v>
      </c>
      <c r="D5" s="51">
        <v>14778996</v>
      </c>
      <c r="E5" s="51">
        <v>19643566</v>
      </c>
      <c r="F5" s="51">
        <v>17966472</v>
      </c>
      <c r="G5" s="12">
        <v>11680352</v>
      </c>
      <c r="H5" s="12">
        <v>19806626</v>
      </c>
      <c r="I5" s="12">
        <v>19127603</v>
      </c>
      <c r="J5" s="12">
        <v>9097110</v>
      </c>
      <c r="K5" s="12">
        <v>12437098</v>
      </c>
      <c r="L5" s="12"/>
      <c r="M5" s="12"/>
      <c r="N5" s="13">
        <f>SUM(B5:M5)</f>
        <v>167852698</v>
      </c>
    </row>
    <row r="6" spans="1:14" x14ac:dyDescent="0.25">
      <c r="A6" s="11" t="s">
        <v>95</v>
      </c>
      <c r="B6" s="12"/>
      <c r="C6" s="12">
        <v>3071671</v>
      </c>
      <c r="D6" s="12">
        <v>2588841</v>
      </c>
      <c r="E6" s="12">
        <v>2315839</v>
      </c>
      <c r="F6" s="12">
        <v>6041051</v>
      </c>
      <c r="G6" s="12">
        <v>1899728</v>
      </c>
      <c r="H6" s="12">
        <v>3546190</v>
      </c>
      <c r="I6" s="12">
        <v>1503079</v>
      </c>
      <c r="J6" s="12">
        <v>1320825</v>
      </c>
      <c r="K6" s="12">
        <v>2369735</v>
      </c>
      <c r="L6" s="12"/>
      <c r="M6" s="14"/>
      <c r="N6" s="13">
        <f t="shared" ref="N6:N9" si="0">SUM(B6:M6)</f>
        <v>24656959</v>
      </c>
    </row>
    <row r="7" spans="1:14" x14ac:dyDescent="0.25">
      <c r="A7" s="11" t="s">
        <v>96</v>
      </c>
      <c r="B7" s="12">
        <v>11946507</v>
      </c>
      <c r="C7" s="12"/>
      <c r="D7" s="12"/>
      <c r="E7" s="12">
        <v>2880055</v>
      </c>
      <c r="F7" s="12"/>
      <c r="G7" s="12"/>
      <c r="H7" s="12">
        <v>2195119</v>
      </c>
      <c r="I7" s="12"/>
      <c r="J7" s="12"/>
      <c r="K7" s="12"/>
      <c r="L7" s="12"/>
      <c r="M7" s="14"/>
      <c r="N7" s="13">
        <f t="shared" si="0"/>
        <v>17021681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14679814</v>
      </c>
      <c r="C9" s="12">
        <v>11248546</v>
      </c>
      <c r="D9" s="12">
        <v>14911321</v>
      </c>
      <c r="E9" s="12">
        <v>27410628</v>
      </c>
      <c r="F9" s="12">
        <v>17342338</v>
      </c>
      <c r="G9" s="12">
        <v>11543707</v>
      </c>
      <c r="H9" s="12">
        <v>10282814</v>
      </c>
      <c r="I9" s="12">
        <v>466832</v>
      </c>
      <c r="J9" s="12">
        <v>14263034</v>
      </c>
      <c r="K9" s="12">
        <v>17406906</v>
      </c>
      <c r="L9" s="12"/>
      <c r="M9" s="12"/>
      <c r="N9" s="13">
        <f t="shared" si="0"/>
        <v>139555940</v>
      </c>
    </row>
    <row r="10" spans="1:14" s="17" customFormat="1" ht="14.25" x14ac:dyDescent="0.2">
      <c r="A10" s="15" t="s">
        <v>99</v>
      </c>
      <c r="B10" s="16">
        <f>N3+B5-B6-B7-B8-B9</f>
        <v>18800520</v>
      </c>
      <c r="C10" s="16">
        <f>B10+C5-C6-C7-C8-C9</f>
        <v>32644756</v>
      </c>
      <c r="D10" s="16">
        <f t="shared" ref="D10:F10" si="1">C10+D5-D6-D7-D8-D9</f>
        <v>29923590</v>
      </c>
      <c r="E10" s="16">
        <f t="shared" si="1"/>
        <v>16960634</v>
      </c>
      <c r="F10" s="16">
        <f t="shared" si="1"/>
        <v>11543717</v>
      </c>
      <c r="G10" s="16">
        <f t="shared" ref="G10" si="2">F10+G5-G6-G7-G8-G9</f>
        <v>9780634</v>
      </c>
      <c r="H10" s="16">
        <f t="shared" ref="H10:K10" si="3">G10+H5-H6-H7-H8-H9</f>
        <v>13563137</v>
      </c>
      <c r="I10" s="16">
        <f t="shared" si="3"/>
        <v>30720829</v>
      </c>
      <c r="J10" s="16">
        <f t="shared" si="3"/>
        <v>24234080</v>
      </c>
      <c r="K10" s="16">
        <f t="shared" si="3"/>
        <v>16894537</v>
      </c>
      <c r="L10" s="16"/>
      <c r="M10" s="16"/>
      <c r="N10" s="13">
        <f>N3+N5-N6-N7-N8-N9</f>
        <v>16894537</v>
      </c>
    </row>
    <row r="12" spans="1:14" x14ac:dyDescent="0.25">
      <c r="B12" s="5" t="s">
        <v>151</v>
      </c>
      <c r="E12" s="5" t="s">
        <v>152</v>
      </c>
      <c r="H12" s="5" t="s">
        <v>194</v>
      </c>
    </row>
    <row r="14" spans="1:14" x14ac:dyDescent="0.25">
      <c r="M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5" sqref="A5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196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>
        <v>15775910</v>
      </c>
      <c r="L5" s="12"/>
      <c r="M5" s="12"/>
      <c r="N5" s="13"/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>
        <v>1425008</v>
      </c>
      <c r="L6" s="12"/>
      <c r="M6" s="14"/>
      <c r="N6" s="13"/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/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/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>
        <v>15775910</v>
      </c>
      <c r="L9" s="12"/>
      <c r="M9" s="12"/>
      <c r="N9" s="13"/>
    </row>
    <row r="10" spans="1:14" x14ac:dyDescent="0.25">
      <c r="A10" s="64" t="s">
        <v>99</v>
      </c>
      <c r="B10" s="16">
        <f>N3+B5-B6-B7-B8-B9</f>
        <v>0</v>
      </c>
      <c r="C10" s="16">
        <f t="shared" ref="C10:K10" si="0">O3+C5-C6-C7-C8-C9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-1425008</v>
      </c>
      <c r="L10" s="16"/>
      <c r="M10" s="16"/>
      <c r="N10" s="16">
        <f t="shared" ref="N10" si="1">Z3+N5-N6-N7-N8-N9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38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25339017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8855585</v>
      </c>
      <c r="C5" s="12">
        <v>8015657</v>
      </c>
      <c r="D5" s="12">
        <v>14227173</v>
      </c>
      <c r="E5" s="12">
        <v>15739932</v>
      </c>
      <c r="F5" s="12">
        <v>11704508</v>
      </c>
      <c r="G5" s="12">
        <v>13845266</v>
      </c>
      <c r="H5" s="12">
        <v>13749092</v>
      </c>
      <c r="I5" s="12">
        <v>10160653</v>
      </c>
      <c r="J5" s="12">
        <v>9223941</v>
      </c>
      <c r="K5" s="12">
        <v>11441032</v>
      </c>
      <c r="L5" s="12"/>
      <c r="M5" s="12"/>
      <c r="N5" s="13">
        <f>SUM(B5:M5)</f>
        <v>116962839</v>
      </c>
    </row>
    <row r="6" spans="1:14" x14ac:dyDescent="0.25">
      <c r="A6" s="11" t="s">
        <v>95</v>
      </c>
      <c r="B6" s="12">
        <v>2012694</v>
      </c>
      <c r="C6" s="12">
        <v>1240478</v>
      </c>
      <c r="D6" s="52">
        <v>779276</v>
      </c>
      <c r="E6" s="12">
        <v>128938</v>
      </c>
      <c r="F6" s="12">
        <v>887819</v>
      </c>
      <c r="G6" s="12">
        <v>647057</v>
      </c>
      <c r="H6" s="12">
        <v>637612</v>
      </c>
      <c r="I6" s="12">
        <v>873105.04</v>
      </c>
      <c r="J6" s="12">
        <v>354821</v>
      </c>
      <c r="K6" s="12">
        <v>1699696</v>
      </c>
      <c r="L6" s="12"/>
      <c r="M6" s="14"/>
      <c r="N6" s="13">
        <f t="shared" ref="N6:N9" si="0">SUM(B6:M6)</f>
        <v>9261496.0399999991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25339017</v>
      </c>
      <c r="D9" s="12">
        <v>6842896</v>
      </c>
      <c r="E9" s="12">
        <v>6629456</v>
      </c>
      <c r="F9" s="12">
        <v>29204636</v>
      </c>
      <c r="G9" s="12"/>
      <c r="H9" s="12"/>
      <c r="I9" s="12">
        <v>10816689</v>
      </c>
      <c r="J9" s="12">
        <v>13197609</v>
      </c>
      <c r="K9" s="12">
        <v>22399025</v>
      </c>
      <c r="L9" s="12"/>
      <c r="M9" s="12"/>
      <c r="N9" s="13">
        <f t="shared" si="0"/>
        <v>114429328</v>
      </c>
    </row>
    <row r="10" spans="1:14" s="17" customFormat="1" ht="14.25" x14ac:dyDescent="0.2">
      <c r="A10" s="15" t="s">
        <v>99</v>
      </c>
      <c r="B10" s="16">
        <f>N3+B5-B6-B7-B8-B9</f>
        <v>32181908</v>
      </c>
      <c r="C10" s="16">
        <f>B10+C5-C6-C7-C8-C9</f>
        <v>13618070</v>
      </c>
      <c r="D10" s="16">
        <f t="shared" ref="D10:F10" si="1">C10+D5-D6-D7-D8-D9</f>
        <v>20223071</v>
      </c>
      <c r="E10" s="16">
        <f t="shared" si="1"/>
        <v>29204609</v>
      </c>
      <c r="F10" s="16">
        <f t="shared" si="1"/>
        <v>10816662</v>
      </c>
      <c r="G10" s="16">
        <f t="shared" ref="G10" si="2">F10+G5-G6-G7-G8-G9</f>
        <v>24014871</v>
      </c>
      <c r="H10" s="16">
        <f t="shared" ref="H10:K10" si="3">G10+H5-H6-H7-H8-H9</f>
        <v>37126351</v>
      </c>
      <c r="I10" s="16">
        <f t="shared" si="3"/>
        <v>35597209.960000001</v>
      </c>
      <c r="J10" s="16">
        <f t="shared" si="3"/>
        <v>31268720.960000001</v>
      </c>
      <c r="K10" s="16">
        <f t="shared" si="3"/>
        <v>18611031.960000001</v>
      </c>
      <c r="L10" s="16"/>
      <c r="M10" s="16"/>
      <c r="N10" s="13">
        <f>N3+N5-N6-N7-N8-N9</f>
        <v>18611031.960000008</v>
      </c>
    </row>
    <row r="14" spans="1:14" x14ac:dyDescent="0.25">
      <c r="B14" s="1"/>
      <c r="G14" s="30"/>
      <c r="H14" s="30"/>
      <c r="I14" s="30"/>
    </row>
    <row r="15" spans="1:14" x14ac:dyDescent="0.25">
      <c r="H15" s="30"/>
    </row>
    <row r="16" spans="1:14" x14ac:dyDescent="0.25">
      <c r="G16" s="30"/>
      <c r="H16" s="30"/>
      <c r="I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8.8554687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39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45671641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1762949</v>
      </c>
      <c r="C5" s="12">
        <v>1167472</v>
      </c>
      <c r="D5" s="12"/>
      <c r="E5" s="12">
        <v>2320803</v>
      </c>
      <c r="F5" s="33"/>
      <c r="G5" s="12"/>
      <c r="H5" s="12"/>
      <c r="I5" s="12"/>
      <c r="J5" s="12"/>
      <c r="K5" s="12"/>
      <c r="L5" s="12"/>
      <c r="M5" s="12"/>
      <c r="N5" s="13">
        <f>SUM(B5:M5)</f>
        <v>5251224</v>
      </c>
    </row>
    <row r="6" spans="1:14" x14ac:dyDescent="0.25">
      <c r="A6" s="11" t="s">
        <v>95</v>
      </c>
      <c r="B6" s="12"/>
      <c r="C6" s="12"/>
      <c r="D6" s="12"/>
      <c r="E6" s="12">
        <v>463760</v>
      </c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463760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10000000</v>
      </c>
      <c r="F9" s="12"/>
      <c r="G9" s="12"/>
      <c r="H9" s="12">
        <v>10000000</v>
      </c>
      <c r="I9" s="12"/>
      <c r="J9" s="12">
        <v>10000000</v>
      </c>
      <c r="K9" s="12"/>
      <c r="L9" s="12"/>
      <c r="M9" s="12"/>
      <c r="N9" s="13">
        <f t="shared" si="0"/>
        <v>30000000</v>
      </c>
    </row>
    <row r="10" spans="1:14" s="17" customFormat="1" ht="14.25" x14ac:dyDescent="0.2">
      <c r="A10" s="15" t="s">
        <v>99</v>
      </c>
      <c r="B10" s="16">
        <f>N3+B5-B6-B7-B8-B9</f>
        <v>47434590</v>
      </c>
      <c r="C10" s="16">
        <f>B10+C5-C6-C7-C8-C9</f>
        <v>48602062</v>
      </c>
      <c r="D10" s="16">
        <f t="shared" ref="D10:F10" si="1">C10+D5-D6-D7-D8-D9</f>
        <v>48602062</v>
      </c>
      <c r="E10" s="16">
        <f t="shared" si="1"/>
        <v>40459105</v>
      </c>
      <c r="F10" s="16">
        <f t="shared" si="1"/>
        <v>40459105</v>
      </c>
      <c r="G10" s="16">
        <f>F10+G5-G6-G7-G8-G9</f>
        <v>40459105</v>
      </c>
      <c r="H10" s="16">
        <f>G10+H5-H6-H7-H8-H9</f>
        <v>30459105</v>
      </c>
      <c r="I10" s="16">
        <f>H10+I5-I6-I7-I8-I9</f>
        <v>30459105</v>
      </c>
      <c r="J10" s="16">
        <f>I10+J5-J6-J7-J8-J9</f>
        <v>20459105</v>
      </c>
      <c r="K10" s="16">
        <f>J10+K5-K6-K7-K8-K9</f>
        <v>20459105</v>
      </c>
      <c r="L10" s="16"/>
      <c r="M10" s="16"/>
      <c r="N10" s="13">
        <f>N3+N5-N6-N7-N8-N9</f>
        <v>20459105</v>
      </c>
    </row>
    <row r="14" spans="1:14" x14ac:dyDescent="0.25">
      <c r="B14" s="1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123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5988727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5988727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5988727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5988727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9" width="13.7109375" style="5" customWidth="1"/>
    <col min="10" max="14" width="14.8554687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117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47735625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27">
        <v>910720</v>
      </c>
      <c r="C5" s="27">
        <v>4770150</v>
      </c>
      <c r="D5" s="27">
        <v>6693031</v>
      </c>
      <c r="E5" s="27">
        <v>4346459</v>
      </c>
      <c r="F5" s="27">
        <v>9048776</v>
      </c>
      <c r="G5" s="12">
        <v>9054547</v>
      </c>
      <c r="H5" s="12">
        <v>7970423</v>
      </c>
      <c r="I5" s="12">
        <v>13326857</v>
      </c>
      <c r="J5" s="12">
        <v>4118756</v>
      </c>
      <c r="K5" s="12">
        <v>5760698</v>
      </c>
      <c r="L5" s="12"/>
      <c r="M5" s="12"/>
      <c r="N5" s="13">
        <f>SUM(B5:M5)</f>
        <v>66000417</v>
      </c>
    </row>
    <row r="6" spans="1:14" ht="15.75" x14ac:dyDescent="0.25">
      <c r="A6" s="11" t="s">
        <v>95</v>
      </c>
      <c r="B6" s="12"/>
      <c r="C6" s="12">
        <v>696341</v>
      </c>
      <c r="D6" s="27">
        <v>1184864</v>
      </c>
      <c r="E6" s="27">
        <v>333846</v>
      </c>
      <c r="F6" s="27">
        <v>412068</v>
      </c>
      <c r="G6" s="12">
        <v>509430</v>
      </c>
      <c r="H6" s="12">
        <v>253765</v>
      </c>
      <c r="I6" s="12">
        <v>302444</v>
      </c>
      <c r="J6" s="12"/>
      <c r="K6" s="12">
        <v>178477</v>
      </c>
      <c r="L6" s="12"/>
      <c r="M6" s="14"/>
      <c r="N6" s="13">
        <f t="shared" ref="N6:N9" si="0">SUM(B6:M6)</f>
        <v>3871235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33255000</v>
      </c>
      <c r="F9" s="12"/>
      <c r="G9" s="12"/>
      <c r="H9" s="12">
        <v>18157000</v>
      </c>
      <c r="I9" s="12"/>
      <c r="J9" s="12"/>
      <c r="K9" s="12"/>
      <c r="L9" s="12">
        <v>40280359</v>
      </c>
      <c r="M9" s="12"/>
      <c r="N9" s="13">
        <f t="shared" si="0"/>
        <v>91692359</v>
      </c>
    </row>
    <row r="10" spans="1:14" s="17" customFormat="1" ht="14.25" x14ac:dyDescent="0.2">
      <c r="A10" s="15" t="s">
        <v>99</v>
      </c>
      <c r="B10" s="16">
        <f>N3+B5-B6-B7-B8-B9</f>
        <v>48646345</v>
      </c>
      <c r="C10" s="16">
        <f>B10+C5-C6-C7-C8-C9</f>
        <v>52720154</v>
      </c>
      <c r="D10" s="16">
        <f t="shared" ref="D10:F10" si="1">C10+D5-D6-D7-D8-D9</f>
        <v>58228321</v>
      </c>
      <c r="E10" s="16">
        <f t="shared" si="1"/>
        <v>28985934</v>
      </c>
      <c r="F10" s="16">
        <f t="shared" si="1"/>
        <v>37622642</v>
      </c>
      <c r="G10" s="16">
        <f t="shared" ref="G10" si="2">F10+G5-G6-G7-G8-G9</f>
        <v>46167759</v>
      </c>
      <c r="H10" s="16">
        <f t="shared" ref="H10:I10" si="3">G10+H5-H6-H7-H8-H9</f>
        <v>35727417</v>
      </c>
      <c r="I10" s="16">
        <f t="shared" si="3"/>
        <v>48751830</v>
      </c>
      <c r="J10" s="16">
        <f t="shared" ref="J10" si="4">I10+J5-J6-J7-J8-J9</f>
        <v>52870586</v>
      </c>
      <c r="K10" s="16">
        <f t="shared" ref="K10:L10" si="5">J10+K5-K6-K7-K8-K9</f>
        <v>58452807</v>
      </c>
      <c r="L10" s="16">
        <f t="shared" si="5"/>
        <v>18172448</v>
      </c>
      <c r="M10" s="16"/>
      <c r="N10" s="13">
        <f>N3+N5-N6-N7-N8-N9</f>
        <v>18172448</v>
      </c>
    </row>
    <row r="12" spans="1:14" x14ac:dyDescent="0.25">
      <c r="F12" s="79"/>
    </row>
    <row r="13" spans="1:14" x14ac:dyDescent="0.25">
      <c r="F13" s="79"/>
    </row>
    <row r="14" spans="1:14" x14ac:dyDescent="0.25">
      <c r="D14" s="30"/>
    </row>
    <row r="15" spans="1:14" x14ac:dyDescent="0.25">
      <c r="C15" s="30"/>
      <c r="D15" s="30"/>
    </row>
    <row r="16" spans="1:14" x14ac:dyDescent="0.25">
      <c r="D16" s="30"/>
    </row>
    <row r="18" spans="4:7" x14ac:dyDescent="0.25">
      <c r="D18" s="30"/>
    </row>
    <row r="26" spans="4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124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45645470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8091586</v>
      </c>
      <c r="D9" s="12">
        <v>8281314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16372900</v>
      </c>
    </row>
    <row r="10" spans="1:14" s="17" customFormat="1" ht="14.25" x14ac:dyDescent="0.2">
      <c r="A10" s="15" t="s">
        <v>99</v>
      </c>
      <c r="B10" s="16">
        <f>N3+B5-B6-B7-B8-B9</f>
        <v>45645470</v>
      </c>
      <c r="C10" s="16">
        <f>B10+C5-C6-C7-C8-C9</f>
        <v>37553884</v>
      </c>
      <c r="D10" s="16">
        <f t="shared" ref="D10:F10" si="1">C10+D5-D6-D7-D8-D9</f>
        <v>29272570</v>
      </c>
      <c r="E10" s="16">
        <f t="shared" si="1"/>
        <v>29272570</v>
      </c>
      <c r="F10" s="16">
        <f t="shared" si="1"/>
        <v>29272570</v>
      </c>
      <c r="G10" s="16">
        <f t="shared" ref="G10" si="2">F10+G5-G6-G7-G8-G9</f>
        <v>29272570</v>
      </c>
      <c r="H10" s="16">
        <f t="shared" ref="H10" si="3">G10+H5-H6-H7-H8-H9</f>
        <v>29272570</v>
      </c>
      <c r="I10" s="16">
        <f t="shared" ref="I10" si="4">H10+I5-I6-I7-I8-I9</f>
        <v>29272570</v>
      </c>
      <c r="J10" s="16">
        <f t="shared" ref="J10" si="5">I10+J5-J6-J7-J8-J9</f>
        <v>29272570</v>
      </c>
      <c r="K10" s="16">
        <f t="shared" ref="K10" si="6">J10+K5-K6-K7-K8-K9</f>
        <v>29272570</v>
      </c>
      <c r="L10" s="16"/>
      <c r="M10" s="16"/>
      <c r="N10" s="13">
        <f>N3+N5-N6-N7-N8-N9</f>
        <v>29272570</v>
      </c>
    </row>
    <row r="13" spans="1:14" x14ac:dyDescent="0.25">
      <c r="B13" s="1" t="s">
        <v>154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M9" sqref="M9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68237266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2000000</v>
      </c>
      <c r="H9" s="12">
        <v>1000000</v>
      </c>
      <c r="I9" s="12">
        <v>500000</v>
      </c>
      <c r="J9" s="12">
        <v>1000000</v>
      </c>
      <c r="K9" s="12">
        <v>500000</v>
      </c>
      <c r="L9" s="12">
        <v>500000</v>
      </c>
      <c r="M9" s="12"/>
      <c r="N9" s="13">
        <f t="shared" si="0"/>
        <v>5500000</v>
      </c>
    </row>
    <row r="10" spans="1:14" s="17" customFormat="1" ht="14.25" x14ac:dyDescent="0.2">
      <c r="A10" s="15" t="s">
        <v>99</v>
      </c>
      <c r="B10" s="16">
        <f>N3+B5-B6-B7-B8-B9</f>
        <v>68237266</v>
      </c>
      <c r="C10" s="16">
        <f>B10+C5-C6-C7-C8-C9</f>
        <v>68237266</v>
      </c>
      <c r="D10" s="16">
        <f t="shared" ref="D10:K10" si="1">C10+D5-D6-D7-D8-D9</f>
        <v>68237266</v>
      </c>
      <c r="E10" s="16">
        <f t="shared" si="1"/>
        <v>68237266</v>
      </c>
      <c r="F10" s="16">
        <f t="shared" si="1"/>
        <v>68237266</v>
      </c>
      <c r="G10" s="16">
        <f t="shared" si="1"/>
        <v>66237266</v>
      </c>
      <c r="H10" s="16">
        <f t="shared" si="1"/>
        <v>65237266</v>
      </c>
      <c r="I10" s="16">
        <f t="shared" si="1"/>
        <v>64737266</v>
      </c>
      <c r="J10" s="16">
        <f t="shared" si="1"/>
        <v>63737266</v>
      </c>
      <c r="K10" s="16">
        <f t="shared" si="1"/>
        <v>63237266</v>
      </c>
      <c r="L10" s="16"/>
      <c r="M10" s="16"/>
      <c r="N10" s="13">
        <f>N3+N5-N6-N7-N8-N9</f>
        <v>62737266</v>
      </c>
    </row>
    <row r="14" spans="1:14" x14ac:dyDescent="0.25">
      <c r="B14" s="1" t="s">
        <v>155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34828209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12">
        <v>4680677</v>
      </c>
      <c r="C5" s="12">
        <v>15437188</v>
      </c>
      <c r="D5" s="12">
        <v>13734583</v>
      </c>
      <c r="E5" s="12">
        <v>14782221</v>
      </c>
      <c r="F5" s="12">
        <v>17760508</v>
      </c>
      <c r="G5" s="12">
        <v>22737951</v>
      </c>
      <c r="H5" s="12">
        <v>11236817</v>
      </c>
      <c r="I5" s="54">
        <v>16038944</v>
      </c>
      <c r="J5" s="12">
        <v>15221868</v>
      </c>
      <c r="K5" s="80">
        <v>12062802</v>
      </c>
      <c r="L5" s="12">
        <v>12405355</v>
      </c>
      <c r="M5" s="12"/>
      <c r="N5" s="13">
        <f>SUM(B5:M5)</f>
        <v>156098914</v>
      </c>
    </row>
    <row r="6" spans="1:14" x14ac:dyDescent="0.25">
      <c r="A6" s="11" t="s">
        <v>95</v>
      </c>
      <c r="B6" s="12">
        <v>665313</v>
      </c>
      <c r="C6" s="12">
        <v>3750871</v>
      </c>
      <c r="D6" s="12">
        <v>5415245</v>
      </c>
      <c r="E6" s="12">
        <v>207793</v>
      </c>
      <c r="F6" s="12">
        <v>1649639</v>
      </c>
      <c r="G6" s="12">
        <v>1677460</v>
      </c>
      <c r="H6" s="12">
        <v>1911655</v>
      </c>
      <c r="I6" s="12">
        <v>1377172</v>
      </c>
      <c r="J6" s="12">
        <v>1102269</v>
      </c>
      <c r="K6" s="12">
        <v>1491458</v>
      </c>
      <c r="L6" s="12">
        <v>2841259</v>
      </c>
      <c r="M6" s="14"/>
      <c r="N6" s="13">
        <f t="shared" ref="N6:N8" si="0">SUM(B6:M6)</f>
        <v>22090134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>
        <v>2253468</v>
      </c>
      <c r="I7" s="12"/>
      <c r="J7" s="12"/>
      <c r="K7" s="12">
        <f>-836338-161898</f>
        <v>-998236</v>
      </c>
      <c r="L7" s="12"/>
      <c r="M7" s="14"/>
      <c r="N7" s="13">
        <f>SUM(B7:M7)</f>
        <v>1255232</v>
      </c>
    </row>
    <row r="8" spans="1:14" x14ac:dyDescent="0.25">
      <c r="A8" s="11" t="s">
        <v>169</v>
      </c>
      <c r="B8" s="12"/>
      <c r="C8" s="12"/>
      <c r="D8" s="12"/>
      <c r="E8" s="12"/>
      <c r="F8" s="12"/>
      <c r="G8" s="12">
        <v>389235</v>
      </c>
      <c r="H8" s="12">
        <v>41730</v>
      </c>
      <c r="I8" s="12"/>
      <c r="J8" s="12"/>
      <c r="K8" s="12">
        <v>190780</v>
      </c>
      <c r="L8" s="12"/>
      <c r="M8" s="14"/>
      <c r="N8" s="13">
        <f t="shared" si="0"/>
        <v>621745</v>
      </c>
    </row>
    <row r="9" spans="1:14" ht="15.75" x14ac:dyDescent="0.25">
      <c r="A9" s="11" t="s">
        <v>98</v>
      </c>
      <c r="B9" s="12"/>
      <c r="C9" s="12"/>
      <c r="D9" s="12">
        <v>50529888</v>
      </c>
      <c r="E9" s="12"/>
      <c r="F9" s="12"/>
      <c r="G9" s="12">
        <v>22893766</v>
      </c>
      <c r="H9" s="12"/>
      <c r="I9" s="12">
        <v>43812089</v>
      </c>
      <c r="J9" s="12">
        <v>14661772</v>
      </c>
      <c r="K9" s="12">
        <v>13928821</v>
      </c>
      <c r="L9" s="84">
        <v>11569580</v>
      </c>
      <c r="M9" s="12"/>
      <c r="N9" s="13">
        <f>SUM(B9:M9)</f>
        <v>157395916</v>
      </c>
    </row>
    <row r="10" spans="1:14" s="17" customFormat="1" ht="14.25" x14ac:dyDescent="0.2">
      <c r="A10" s="15" t="s">
        <v>99</v>
      </c>
      <c r="B10" s="16">
        <f>N3+B5-B6-B7-B8-B9</f>
        <v>38843573</v>
      </c>
      <c r="C10" s="16">
        <f>B10+C5-C6-C7-C8-C9</f>
        <v>50529890</v>
      </c>
      <c r="D10" s="16">
        <f t="shared" ref="D10:F10" si="1">C10+D5-D6-D7-D8-D9</f>
        <v>8319340</v>
      </c>
      <c r="E10" s="16">
        <f t="shared" si="1"/>
        <v>22893768</v>
      </c>
      <c r="F10" s="16">
        <f t="shared" si="1"/>
        <v>39004637</v>
      </c>
      <c r="G10" s="16">
        <f t="shared" ref="G10" si="2">F10+G5-G6-G7-G8-G9</f>
        <v>36782127</v>
      </c>
      <c r="H10" s="16">
        <f t="shared" ref="H10:I10" si="3">G10+H5-H6-H7-H8-H9</f>
        <v>43812091</v>
      </c>
      <c r="I10" s="16">
        <f t="shared" si="3"/>
        <v>14661774</v>
      </c>
      <c r="J10" s="16">
        <f>I10+J5-J6-J7-J8-J9</f>
        <v>14119601</v>
      </c>
      <c r="K10" s="16">
        <f>J10+K5-K6-K7-K8-K9</f>
        <v>11569580</v>
      </c>
      <c r="L10" s="16">
        <f>K10+L5-L6-L7-L8-L9</f>
        <v>9564096</v>
      </c>
      <c r="M10" s="16"/>
      <c r="N10" s="13">
        <f>N3+N5-N6-N7-N8-N9</f>
        <v>9564096</v>
      </c>
    </row>
    <row r="11" spans="1:14" ht="30" x14ac:dyDescent="0.25">
      <c r="G11" s="5" t="s">
        <v>170</v>
      </c>
      <c r="H11" s="5" t="s">
        <v>168</v>
      </c>
      <c r="K11" s="5" t="s">
        <v>200</v>
      </c>
    </row>
    <row r="12" spans="1:14" x14ac:dyDescent="0.25">
      <c r="J12" s="30"/>
    </row>
    <row r="13" spans="1:14" ht="30" x14ac:dyDescent="0.25">
      <c r="I13" s="30"/>
      <c r="J13" s="30"/>
      <c r="K13" s="5" t="s">
        <v>202</v>
      </c>
      <c r="N13" s="30"/>
    </row>
    <row r="14" spans="1:14" x14ac:dyDescent="0.25">
      <c r="B14" s="1"/>
      <c r="F14" s="30"/>
      <c r="L14" s="30"/>
    </row>
    <row r="16" spans="1:14" x14ac:dyDescent="0.25">
      <c r="L16" s="30"/>
    </row>
    <row r="18" spans="7:11" x14ac:dyDescent="0.25">
      <c r="K18" s="30"/>
    </row>
    <row r="26" spans="7:11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116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11075034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2742795</v>
      </c>
      <c r="C5" s="12">
        <v>3465379</v>
      </c>
      <c r="D5" s="12"/>
      <c r="E5" s="12">
        <v>1284531</v>
      </c>
      <c r="F5" s="12">
        <v>1379629</v>
      </c>
      <c r="G5" s="12">
        <v>1516642</v>
      </c>
      <c r="H5" s="12"/>
      <c r="I5" s="12"/>
      <c r="J5" s="12"/>
      <c r="K5" s="12"/>
      <c r="L5" s="12"/>
      <c r="M5" s="12"/>
      <c r="N5" s="13">
        <f>SUM(B5:M5)</f>
        <v>10388976</v>
      </c>
    </row>
    <row r="6" spans="1:14" x14ac:dyDescent="0.25">
      <c r="A6" s="11" t="s">
        <v>95</v>
      </c>
      <c r="B6" s="12">
        <v>352253</v>
      </c>
      <c r="C6" s="12"/>
      <c r="D6" s="12"/>
      <c r="E6" s="12">
        <v>152950</v>
      </c>
      <c r="F6" s="12">
        <v>116193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621396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>
        <v>1400000</v>
      </c>
      <c r="H7" s="12"/>
      <c r="I7" s="12"/>
      <c r="J7" s="12"/>
      <c r="K7" s="12"/>
      <c r="L7" s="12"/>
      <c r="M7" s="14"/>
      <c r="N7" s="13">
        <f t="shared" si="0"/>
        <v>1400000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>
        <v>11075034</v>
      </c>
      <c r="K9" s="12"/>
      <c r="L9" s="12"/>
      <c r="M9" s="12"/>
      <c r="N9" s="13">
        <f t="shared" si="0"/>
        <v>11075034</v>
      </c>
    </row>
    <row r="10" spans="1:14" s="17" customFormat="1" ht="14.25" x14ac:dyDescent="0.2">
      <c r="A10" s="15" t="s">
        <v>99</v>
      </c>
      <c r="B10" s="16">
        <f>N3+B5-B6-B7-B8-B9</f>
        <v>13465576</v>
      </c>
      <c r="C10" s="16">
        <f>B10+C5-C6-C7-C8-C9</f>
        <v>16930955</v>
      </c>
      <c r="D10" s="16">
        <f t="shared" ref="D10:K10" si="1">C10+D5-D6-D7-D8-D9</f>
        <v>16930955</v>
      </c>
      <c r="E10" s="16">
        <f t="shared" si="1"/>
        <v>18062536</v>
      </c>
      <c r="F10" s="16">
        <f t="shared" si="1"/>
        <v>19325972</v>
      </c>
      <c r="G10" s="16">
        <f t="shared" si="1"/>
        <v>19442614</v>
      </c>
      <c r="H10" s="16">
        <f t="shared" si="1"/>
        <v>19442614</v>
      </c>
      <c r="I10" s="16">
        <f t="shared" si="1"/>
        <v>19442614</v>
      </c>
      <c r="J10" s="16">
        <f t="shared" si="1"/>
        <v>8367580</v>
      </c>
      <c r="K10" s="16">
        <f t="shared" si="1"/>
        <v>8367580</v>
      </c>
      <c r="L10" s="16"/>
      <c r="M10" s="16"/>
      <c r="N10" s="13">
        <f>N3+N5-N6-N7-N8-N9</f>
        <v>8367580</v>
      </c>
    </row>
    <row r="13" spans="1:14" x14ac:dyDescent="0.25">
      <c r="B13" s="1" t="s">
        <v>156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44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190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5094183</v>
      </c>
      <c r="I5" s="12"/>
      <c r="J5" s="12">
        <v>465948</v>
      </c>
      <c r="K5" s="12">
        <v>1152636</v>
      </c>
      <c r="L5" s="12">
        <v>560759</v>
      </c>
      <c r="M5" s="12">
        <v>1104505</v>
      </c>
      <c r="N5" s="13">
        <f>SUM(B5:M5)</f>
        <v>8378031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>
        <v>5094183</v>
      </c>
      <c r="J9" s="12">
        <v>465948</v>
      </c>
      <c r="K9" s="12"/>
      <c r="L9" s="12">
        <v>1152636</v>
      </c>
      <c r="M9" s="12">
        <v>560759</v>
      </c>
      <c r="N9" s="13">
        <f t="shared" si="0"/>
        <v>7273526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" si="1">P3+D5-D6-D7-D8-D9</f>
        <v>0</v>
      </c>
      <c r="E10" s="16">
        <f t="shared" ref="E10" si="2">D10+E5-E6-E7-E8-E9</f>
        <v>0</v>
      </c>
      <c r="F10" s="16">
        <f t="shared" ref="F10" si="3">R3+F5-F6-F7-F8-F9</f>
        <v>0</v>
      </c>
      <c r="G10" s="16">
        <f t="shared" ref="G10" si="4">F10+G5-G6-G7-G8-G9</f>
        <v>0</v>
      </c>
      <c r="H10" s="16">
        <f t="shared" ref="H10" si="5">T3+H5-H6-H7-H8-H9</f>
        <v>5094183</v>
      </c>
      <c r="I10" s="16">
        <f t="shared" ref="I10" si="6">H10+I5-I6-I7-I8-I9</f>
        <v>0</v>
      </c>
      <c r="J10" s="16">
        <f t="shared" ref="J10" si="7">V3+J5-J6-J7-J8-J9</f>
        <v>0</v>
      </c>
      <c r="K10" s="16">
        <f t="shared" ref="K10" si="8">J10+K5-K6-K7-K8-K9</f>
        <v>1152636</v>
      </c>
      <c r="L10" s="16">
        <f>K10+L5-L6-L7-L8-L9</f>
        <v>560759</v>
      </c>
      <c r="M10" s="16">
        <f t="shared" ref="M10" si="9">L10+M5-M6-M7-M8-M9</f>
        <v>1104505</v>
      </c>
      <c r="N10" s="16">
        <f>Z3+N5-N6-N7-N8-N9</f>
        <v>1104505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2099781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2099781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2099781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2099781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70796937.060000002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6646686</v>
      </c>
      <c r="C5" s="12">
        <v>11328456</v>
      </c>
      <c r="D5" s="12">
        <v>8031802</v>
      </c>
      <c r="E5" s="12">
        <v>12651660</v>
      </c>
      <c r="F5" s="12">
        <v>8315289</v>
      </c>
      <c r="G5" s="12">
        <v>8484763</v>
      </c>
      <c r="H5" s="12">
        <v>9856173</v>
      </c>
      <c r="I5" s="12">
        <v>16844487</v>
      </c>
      <c r="J5" s="12">
        <v>3078713</v>
      </c>
      <c r="K5" s="12">
        <v>9210997</v>
      </c>
      <c r="L5" s="12"/>
      <c r="M5" s="12"/>
      <c r="N5" s="13">
        <f>SUM(B5:M5)</f>
        <v>94449026</v>
      </c>
    </row>
    <row r="6" spans="1:14" x14ac:dyDescent="0.25">
      <c r="A6" s="11" t="s">
        <v>95</v>
      </c>
      <c r="B6" s="12">
        <v>1321343.9100000001</v>
      </c>
      <c r="C6" s="12">
        <v>1192235.4099999999</v>
      </c>
      <c r="D6" s="12">
        <v>635418</v>
      </c>
      <c r="E6" s="12">
        <v>721964.04</v>
      </c>
      <c r="F6" s="12">
        <v>1108485.9999999998</v>
      </c>
      <c r="G6" s="12">
        <v>366781</v>
      </c>
      <c r="H6" s="12">
        <v>501602</v>
      </c>
      <c r="I6" s="12">
        <f>163019+13</f>
        <v>163032</v>
      </c>
      <c r="J6" s="12"/>
      <c r="K6" s="12">
        <v>300050</v>
      </c>
      <c r="L6" s="12"/>
      <c r="M6" s="14"/>
      <c r="N6" s="13">
        <f t="shared" ref="N6:N9" si="0">SUM(B6:M6)</f>
        <v>6310912.3600000003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112791388</v>
      </c>
      <c r="H9" s="12">
        <v>8117979</v>
      </c>
      <c r="I9" s="12">
        <v>9354571</v>
      </c>
      <c r="J9" s="12">
        <v>16681453</v>
      </c>
      <c r="K9" s="12">
        <v>3078713</v>
      </c>
      <c r="L9" s="12"/>
      <c r="M9" s="12"/>
      <c r="N9" s="13">
        <f t="shared" si="0"/>
        <v>150024104</v>
      </c>
    </row>
    <row r="10" spans="1:14" s="17" customFormat="1" ht="14.25" x14ac:dyDescent="0.2">
      <c r="A10" s="15" t="s">
        <v>99</v>
      </c>
      <c r="B10" s="16">
        <f>N3+B5-B6-B7-B8-B9</f>
        <v>76122279.150000006</v>
      </c>
      <c r="C10" s="16">
        <f>B10+C5-C6-C7-C8-C9</f>
        <v>86258499.74000001</v>
      </c>
      <c r="D10" s="16">
        <f t="shared" ref="D10:F10" si="1">C10+D5-D6-D7-D8-D9</f>
        <v>93654883.74000001</v>
      </c>
      <c r="E10" s="16">
        <f t="shared" si="1"/>
        <v>105584579.7</v>
      </c>
      <c r="F10" s="16">
        <f t="shared" si="1"/>
        <v>112791382.7</v>
      </c>
      <c r="G10" s="16">
        <f t="shared" ref="G10" si="2">F10+G5-G6-G7-G8-G9</f>
        <v>8117976.700000003</v>
      </c>
      <c r="H10" s="16">
        <f t="shared" ref="H10:K10" si="3">G10+H5-H6-H7-H8-H9</f>
        <v>9354568.700000003</v>
      </c>
      <c r="I10" s="16">
        <f t="shared" si="3"/>
        <v>16681452.700000003</v>
      </c>
      <c r="J10" s="16">
        <f t="shared" si="3"/>
        <v>3078712.700000003</v>
      </c>
      <c r="K10" s="16">
        <f t="shared" si="3"/>
        <v>8910946.700000003</v>
      </c>
      <c r="L10" s="16"/>
      <c r="M10" s="16"/>
      <c r="N10" s="13">
        <f>N3+N5-N6-N7-N8-N9</f>
        <v>8910946.6999999881</v>
      </c>
    </row>
    <row r="14" spans="1:14" x14ac:dyDescent="0.25">
      <c r="H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129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1982435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1982435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1982435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1982435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23" sqref="D23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5" ht="15.75" x14ac:dyDescent="0.25">
      <c r="L1" s="100" t="s">
        <v>109</v>
      </c>
      <c r="M1" s="100"/>
      <c r="N1" s="100"/>
    </row>
    <row r="2" spans="1:15" ht="18.75" x14ac:dyDescent="0.25">
      <c r="B2" s="101" t="s">
        <v>130</v>
      </c>
      <c r="C2" s="101"/>
      <c r="D2" s="101"/>
      <c r="E2" s="101"/>
      <c r="F2" s="101"/>
    </row>
    <row r="3" spans="1:15" ht="29.25" x14ac:dyDescent="0.25">
      <c r="B3" s="5" t="s">
        <v>102</v>
      </c>
      <c r="M3" s="6" t="s">
        <v>100</v>
      </c>
      <c r="N3" s="7"/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x14ac:dyDescent="0.25">
      <c r="A5" s="11" t="s">
        <v>94</v>
      </c>
      <c r="B5" s="12"/>
      <c r="C5" s="12">
        <v>1109313</v>
      </c>
      <c r="D5" s="12">
        <v>1784476</v>
      </c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2893789</v>
      </c>
    </row>
    <row r="6" spans="1:15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5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>
        <v>1109313</v>
      </c>
      <c r="D9" s="12">
        <f>3479188+476</f>
        <v>3479664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4588977</v>
      </c>
    </row>
    <row r="10" spans="1:15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-1695188</v>
      </c>
      <c r="E10" s="16">
        <f t="shared" si="1"/>
        <v>-1695188</v>
      </c>
      <c r="F10" s="16"/>
      <c r="G10" s="16"/>
      <c r="H10" s="16"/>
      <c r="I10" s="16"/>
      <c r="J10" s="16"/>
      <c r="K10" s="16"/>
      <c r="L10" s="16"/>
      <c r="M10" s="16"/>
      <c r="N10" s="13">
        <f>N3+N5-N6-N7-N8-N9</f>
        <v>-1695188</v>
      </c>
      <c r="O10" s="17" t="s">
        <v>131</v>
      </c>
    </row>
    <row r="15" spans="1:15" x14ac:dyDescent="0.25">
      <c r="D15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49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50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2286665</v>
      </c>
      <c r="C5" s="12"/>
      <c r="D5" s="12"/>
      <c r="E5" s="12">
        <v>4404427</v>
      </c>
      <c r="F5" s="12">
        <v>1859915</v>
      </c>
      <c r="G5" s="12">
        <v>1835837</v>
      </c>
      <c r="H5" s="12">
        <v>1569670</v>
      </c>
      <c r="I5" s="12">
        <v>1445976</v>
      </c>
      <c r="J5" s="12">
        <v>5138744</v>
      </c>
      <c r="K5" s="12">
        <v>1132552</v>
      </c>
      <c r="L5" s="12">
        <v>2728701</v>
      </c>
      <c r="M5" s="12"/>
      <c r="N5" s="13">
        <f>SUM(B5:M5)</f>
        <v>22402487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8551007</v>
      </c>
      <c r="H9" s="12"/>
      <c r="I9" s="12">
        <v>3405507</v>
      </c>
      <c r="J9" s="12"/>
      <c r="K9" s="12"/>
      <c r="L9" s="12"/>
      <c r="M9" s="12"/>
      <c r="N9" s="13">
        <f t="shared" si="0"/>
        <v>11956514</v>
      </c>
    </row>
    <row r="10" spans="1:14" s="17" customFormat="1" ht="14.25" x14ac:dyDescent="0.2">
      <c r="A10" s="15" t="s">
        <v>99</v>
      </c>
      <c r="B10" s="16">
        <f>N3+B5-B6-B7-B8-B9</f>
        <v>2286665</v>
      </c>
      <c r="C10" s="16">
        <f>B10+C5-C6-C7-C8-C9</f>
        <v>2286665</v>
      </c>
      <c r="D10" s="16">
        <f t="shared" ref="D10:F10" si="1">C10+D5-D6-D7-D8-D9</f>
        <v>2286665</v>
      </c>
      <c r="E10" s="16">
        <f t="shared" si="1"/>
        <v>6691092</v>
      </c>
      <c r="F10" s="16">
        <f t="shared" si="1"/>
        <v>8551007</v>
      </c>
      <c r="G10" s="16">
        <f t="shared" ref="G10" si="2">F10+G5-G6-G7-G8-G9</f>
        <v>1835837</v>
      </c>
      <c r="H10" s="16">
        <f t="shared" ref="H10:L10" si="3">G10+H5-H6-H7-H8-H9</f>
        <v>3405507</v>
      </c>
      <c r="I10" s="16">
        <f t="shared" si="3"/>
        <v>1445976</v>
      </c>
      <c r="J10" s="16">
        <f t="shared" si="3"/>
        <v>6584720</v>
      </c>
      <c r="K10" s="16">
        <f t="shared" si="3"/>
        <v>7717272</v>
      </c>
      <c r="L10" s="16">
        <f t="shared" si="3"/>
        <v>10445973</v>
      </c>
      <c r="M10" s="16"/>
      <c r="N10" s="13">
        <f>N3+N5-N6-N7-N8-N9</f>
        <v>10445973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51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N6" sqref="N6"/>
    </sheetView>
  </sheetViews>
  <sheetFormatPr defaultColWidth="9.140625" defaultRowHeight="15" x14ac:dyDescent="0.2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101</v>
      </c>
      <c r="C2" s="101"/>
      <c r="D2" s="101"/>
      <c r="E2" s="101"/>
      <c r="F2" s="101"/>
    </row>
    <row r="3" spans="1:14" ht="29.25" x14ac:dyDescent="0.25">
      <c r="M3" s="6" t="s">
        <v>100</v>
      </c>
      <c r="N3" s="7">
        <v>123549817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32035173</v>
      </c>
      <c r="C5" s="12">
        <v>25038200</v>
      </c>
      <c r="D5" s="12">
        <v>27914239</v>
      </c>
      <c r="E5" s="12">
        <v>50264732</v>
      </c>
      <c r="F5" s="12">
        <v>12964897</v>
      </c>
      <c r="G5" s="12">
        <v>25046619</v>
      </c>
      <c r="H5" s="12">
        <v>28691002</v>
      </c>
      <c r="I5" s="12">
        <v>31139627</v>
      </c>
      <c r="J5" s="12">
        <v>51056343</v>
      </c>
      <c r="K5" s="12">
        <v>27551500</v>
      </c>
      <c r="L5" s="12">
        <v>32128772</v>
      </c>
      <c r="M5" s="12">
        <v>32516762</v>
      </c>
      <c r="N5" s="13">
        <f>SUM(B5:M5)</f>
        <v>376347866</v>
      </c>
    </row>
    <row r="6" spans="1:14" x14ac:dyDescent="0.25">
      <c r="A6" s="11" t="s">
        <v>95</v>
      </c>
      <c r="B6" s="12">
        <v>758995</v>
      </c>
      <c r="C6" s="12">
        <v>3022880</v>
      </c>
      <c r="D6" s="12">
        <v>1411013</v>
      </c>
      <c r="E6" s="12"/>
      <c r="F6" s="12">
        <v>3280346</v>
      </c>
      <c r="G6" s="12">
        <v>7004439</v>
      </c>
      <c r="H6" s="12">
        <v>583070</v>
      </c>
      <c r="I6" s="12">
        <v>1120952</v>
      </c>
      <c r="J6" s="12">
        <v>530230</v>
      </c>
      <c r="K6" s="12">
        <v>1907742</v>
      </c>
      <c r="L6" s="12">
        <v>5106540</v>
      </c>
      <c r="M6" s="12">
        <v>5684652</v>
      </c>
      <c r="N6" s="13">
        <f t="shared" ref="N6:N9" si="0">SUM(B6:M6)</f>
        <v>30410859</v>
      </c>
    </row>
    <row r="7" spans="1:14" x14ac:dyDescent="0.25">
      <c r="A7" s="11" t="s">
        <v>96</v>
      </c>
      <c r="B7" s="12"/>
      <c r="C7" s="12">
        <v>34384747</v>
      </c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34384747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>
        <v>112815</v>
      </c>
      <c r="M8" s="14"/>
      <c r="N8" s="13">
        <f t="shared" si="0"/>
        <v>112815</v>
      </c>
    </row>
    <row r="9" spans="1:14" x14ac:dyDescent="0.25">
      <c r="A9" s="11" t="s">
        <v>98</v>
      </c>
      <c r="B9" s="12">
        <v>32303564</v>
      </c>
      <c r="C9" s="12">
        <v>40072914</v>
      </c>
      <c r="D9" s="12">
        <v>31273178</v>
      </c>
      <c r="E9" s="12"/>
      <c r="F9" s="12">
        <v>15209737</v>
      </c>
      <c r="G9" s="12"/>
      <c r="H9" s="12">
        <v>50264732</v>
      </c>
      <c r="I9" s="12"/>
      <c r="J9" s="12">
        <v>27726726</v>
      </c>
      <c r="K9" s="12"/>
      <c r="L9" s="12"/>
      <c r="M9" s="12"/>
      <c r="N9" s="13">
        <f t="shared" si="0"/>
        <v>196850851</v>
      </c>
    </row>
    <row r="10" spans="1:14" s="17" customFormat="1" ht="14.25" x14ac:dyDescent="0.2">
      <c r="A10" s="15" t="s">
        <v>99</v>
      </c>
      <c r="B10" s="16">
        <f>N3+B5-B6-B7-B8-B9</f>
        <v>122522431</v>
      </c>
      <c r="C10" s="16">
        <f>B10+C5-C6-C7-C8-C9</f>
        <v>70080090</v>
      </c>
      <c r="D10" s="16">
        <f t="shared" ref="D10" si="1">C10+D5-D6-D7-D8-D9</f>
        <v>65310138</v>
      </c>
      <c r="E10" s="16">
        <f t="shared" ref="E10:M10" si="2">D10+E5-E6-E7-E8-E9</f>
        <v>115574870</v>
      </c>
      <c r="F10" s="16">
        <f t="shared" si="2"/>
        <v>110049684</v>
      </c>
      <c r="G10" s="16">
        <f t="shared" si="2"/>
        <v>128091864</v>
      </c>
      <c r="H10" s="16">
        <f t="shared" si="2"/>
        <v>105935064</v>
      </c>
      <c r="I10" s="16">
        <f t="shared" si="2"/>
        <v>135953739</v>
      </c>
      <c r="J10" s="16">
        <f t="shared" si="2"/>
        <v>158753126</v>
      </c>
      <c r="K10" s="16">
        <f t="shared" si="2"/>
        <v>184396884</v>
      </c>
      <c r="L10" s="16">
        <f t="shared" si="2"/>
        <v>211306301</v>
      </c>
      <c r="M10" s="16">
        <f t="shared" si="2"/>
        <v>238138411</v>
      </c>
      <c r="N10" s="32">
        <f>N3+N5-N6-N7-N8-N9</f>
        <v>238138411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52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45110925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11793827</v>
      </c>
      <c r="C5" s="12"/>
      <c r="D5" s="12">
        <v>8563671</v>
      </c>
      <c r="E5" s="12">
        <v>13221106</v>
      </c>
      <c r="F5" s="12">
        <v>44065367</v>
      </c>
      <c r="G5" s="12">
        <v>37546035</v>
      </c>
      <c r="H5" s="12">
        <v>33805672</v>
      </c>
      <c r="I5" s="12">
        <v>50191109</v>
      </c>
      <c r="J5" s="12">
        <v>31890106</v>
      </c>
      <c r="K5" s="12">
        <v>39205868</v>
      </c>
      <c r="L5" s="12">
        <v>24467140</v>
      </c>
      <c r="M5" s="12">
        <v>32924745</v>
      </c>
      <c r="N5" s="13">
        <f>SUM(B5:M5)</f>
        <v>327674646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45110925</v>
      </c>
      <c r="C9" s="12">
        <v>11793827</v>
      </c>
      <c r="D9" s="12"/>
      <c r="E9" s="12">
        <v>8563671</v>
      </c>
      <c r="F9" s="12">
        <v>13221106</v>
      </c>
      <c r="G9" s="12">
        <v>44065367</v>
      </c>
      <c r="H9" s="12">
        <v>37546035</v>
      </c>
      <c r="I9" s="12">
        <v>33805672</v>
      </c>
      <c r="J9" s="12">
        <v>50191109</v>
      </c>
      <c r="K9" s="12">
        <v>31890106</v>
      </c>
      <c r="L9" s="12">
        <v>39205868</v>
      </c>
      <c r="M9" s="12">
        <v>24467140</v>
      </c>
      <c r="N9" s="13">
        <f t="shared" si="0"/>
        <v>339860826</v>
      </c>
    </row>
    <row r="10" spans="1:14" s="17" customFormat="1" ht="14.25" x14ac:dyDescent="0.2">
      <c r="A10" s="15" t="s">
        <v>99</v>
      </c>
      <c r="B10" s="16">
        <f>N3+B5-B6-B7-B8-B9</f>
        <v>11793827</v>
      </c>
      <c r="C10" s="16">
        <f>B10+C5-C6-C7-C8-C9</f>
        <v>0</v>
      </c>
      <c r="D10" s="16">
        <f t="shared" ref="D10:F10" si="1">C10+D5-D6-D7-D8-D9</f>
        <v>8563671</v>
      </c>
      <c r="E10" s="16">
        <f t="shared" si="1"/>
        <v>13221106</v>
      </c>
      <c r="F10" s="16">
        <f t="shared" si="1"/>
        <v>44065367</v>
      </c>
      <c r="G10" s="16">
        <f t="shared" ref="G10" si="2">F10+G5-G6-G7-G8-G9</f>
        <v>37546035</v>
      </c>
      <c r="H10" s="16">
        <f t="shared" ref="H10:K10" si="3">G10+H5-H6-H7-H8-H9</f>
        <v>33805672</v>
      </c>
      <c r="I10" s="16">
        <f t="shared" si="3"/>
        <v>50191109</v>
      </c>
      <c r="J10" s="16">
        <f t="shared" si="3"/>
        <v>31890106</v>
      </c>
      <c r="K10" s="16">
        <f t="shared" si="3"/>
        <v>39205868</v>
      </c>
      <c r="L10" s="16">
        <f t="shared" ref="L10" si="4">K10+L5-L6-L7-L8-L9</f>
        <v>24467140</v>
      </c>
      <c r="M10" s="16">
        <f t="shared" ref="M10" si="5">L10+M5-M6-M7-M8-M9</f>
        <v>32924745</v>
      </c>
      <c r="N10" s="13">
        <f>N3+N5-N6-N7-N8-N9</f>
        <v>32924745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10" sqref="D10"/>
    </sheetView>
  </sheetViews>
  <sheetFormatPr defaultColWidth="9.140625" defaultRowHeight="15" x14ac:dyDescent="0.2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53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1745053</v>
      </c>
      <c r="C5" s="12"/>
      <c r="D5" s="12">
        <v>1377566</v>
      </c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3122619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1745053</v>
      </c>
      <c r="C9" s="12"/>
      <c r="D9" s="12">
        <v>1377566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3122619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0</v>
      </c>
      <c r="E10" s="16">
        <f t="shared" si="1"/>
        <v>0</v>
      </c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855468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54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54465373.600000001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7000523</v>
      </c>
      <c r="C5" s="12">
        <v>8185396</v>
      </c>
      <c r="D5" s="12">
        <v>2548268</v>
      </c>
      <c r="E5" s="12">
        <v>6672184</v>
      </c>
      <c r="F5" s="12">
        <v>2824197</v>
      </c>
      <c r="G5" s="12">
        <v>3710027</v>
      </c>
      <c r="H5" s="12">
        <v>7605899</v>
      </c>
      <c r="I5" s="12">
        <v>4769656</v>
      </c>
      <c r="J5" s="12">
        <v>849437</v>
      </c>
      <c r="K5" s="12">
        <v>3540607</v>
      </c>
      <c r="L5" s="12"/>
      <c r="M5" s="12"/>
      <c r="N5" s="13">
        <f>SUM(B5:M5)</f>
        <v>47706194</v>
      </c>
    </row>
    <row r="6" spans="1:14" x14ac:dyDescent="0.25">
      <c r="A6" s="11" t="s">
        <v>95</v>
      </c>
      <c r="B6" s="12">
        <v>179850</v>
      </c>
      <c r="C6" s="12">
        <v>786698</v>
      </c>
      <c r="D6" s="12">
        <v>1071663.31</v>
      </c>
      <c r="E6" s="12">
        <v>1151400.8900000001</v>
      </c>
      <c r="F6" s="12">
        <v>52992</v>
      </c>
      <c r="G6" s="56">
        <v>971385</v>
      </c>
      <c r="H6" s="12">
        <f>251396+482</f>
        <v>251878</v>
      </c>
      <c r="I6" s="12"/>
      <c r="J6" s="12"/>
      <c r="K6" s="12">
        <v>57642</v>
      </c>
      <c r="L6" s="12"/>
      <c r="M6" s="14"/>
      <c r="N6" s="13">
        <f t="shared" ref="N6:N9" si="0">SUM(B6:M6)</f>
        <v>4523509.2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78452851</v>
      </c>
      <c r="H9" s="12">
        <v>2738645</v>
      </c>
      <c r="I9" s="12">
        <v>7354504</v>
      </c>
      <c r="J9" s="12">
        <v>4769656</v>
      </c>
      <c r="K9" s="12">
        <v>849437</v>
      </c>
      <c r="L9" s="12"/>
      <c r="M9" s="12"/>
      <c r="N9" s="13">
        <f t="shared" si="0"/>
        <v>94165093</v>
      </c>
    </row>
    <row r="10" spans="1:14" s="17" customFormat="1" ht="14.25" x14ac:dyDescent="0.2">
      <c r="A10" s="15" t="s">
        <v>99</v>
      </c>
      <c r="B10" s="16">
        <f>N3+B5-B6-B7-B8-B9</f>
        <v>61286046.600000001</v>
      </c>
      <c r="C10" s="16">
        <f>B10+C5-C6-C7-C8-C9</f>
        <v>68684744.599999994</v>
      </c>
      <c r="D10" s="16">
        <f t="shared" ref="D10:F10" si="1">C10+D5-D6-D7-D8-D9</f>
        <v>70161349.289999992</v>
      </c>
      <c r="E10" s="16">
        <f t="shared" si="1"/>
        <v>75682132.399999991</v>
      </c>
      <c r="F10" s="16">
        <f t="shared" si="1"/>
        <v>78453337.399999991</v>
      </c>
      <c r="G10" s="16">
        <f t="shared" ref="G10" si="2">F10+G5-G6-G7-G8-G9</f>
        <v>2739128.3999999911</v>
      </c>
      <c r="H10" s="16">
        <f t="shared" ref="H10:K10" si="3">G10+H5-H6-H7-H8-H9</f>
        <v>7354504.3999999911</v>
      </c>
      <c r="I10" s="16">
        <f t="shared" si="3"/>
        <v>4769656.3999999911</v>
      </c>
      <c r="J10" s="16">
        <f t="shared" si="3"/>
        <v>849437.39999999106</v>
      </c>
      <c r="K10" s="16">
        <f t="shared" si="3"/>
        <v>3482965.3999999911</v>
      </c>
      <c r="L10" s="16"/>
      <c r="M10" s="16"/>
      <c r="N10" s="13">
        <f>N3+N5-N6-N7-N8-N9</f>
        <v>3482965.3999999911</v>
      </c>
    </row>
    <row r="12" spans="1:14" x14ac:dyDescent="0.25">
      <c r="C12" s="1" t="s">
        <v>157</v>
      </c>
    </row>
    <row r="14" spans="1:14" x14ac:dyDescent="0.25">
      <c r="H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18052695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3481668</v>
      </c>
      <c r="C5" s="12"/>
      <c r="D5" s="12">
        <v>1368450</v>
      </c>
      <c r="E5" s="12"/>
      <c r="F5" s="12">
        <v>1213255</v>
      </c>
      <c r="G5" s="12"/>
      <c r="H5" s="12"/>
      <c r="I5" s="12"/>
      <c r="J5" s="12"/>
      <c r="K5" s="12"/>
      <c r="L5" s="12"/>
      <c r="M5" s="12"/>
      <c r="N5" s="13">
        <f>SUM(B5:M5)</f>
        <v>6063373</v>
      </c>
    </row>
    <row r="6" spans="1:14" x14ac:dyDescent="0.25">
      <c r="A6" s="11" t="s">
        <v>95</v>
      </c>
      <c r="B6" s="12"/>
      <c r="C6" s="12">
        <v>1217595</v>
      </c>
      <c r="D6" s="12">
        <v>826675</v>
      </c>
      <c r="E6" s="12"/>
      <c r="F6" s="12">
        <v>90070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2134340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21534363</v>
      </c>
      <c r="C10" s="16">
        <f>B10+C5-C6-C7-C8-C9</f>
        <v>20316768</v>
      </c>
      <c r="D10" s="16">
        <f t="shared" ref="D10:F10" si="1">C10+D5-D6-D7-D8-D9</f>
        <v>20858543</v>
      </c>
      <c r="E10" s="16">
        <f t="shared" si="1"/>
        <v>20858543</v>
      </c>
      <c r="F10" s="16">
        <f t="shared" si="1"/>
        <v>21981728</v>
      </c>
      <c r="G10" s="16">
        <f t="shared" ref="G10" si="2">F10+G5-G6-G7-G8-G9</f>
        <v>21981728</v>
      </c>
      <c r="H10" s="16">
        <f t="shared" ref="H10:K10" si="3">G10+H5-H6-H7-H8-H9</f>
        <v>21981728</v>
      </c>
      <c r="I10" s="16">
        <f t="shared" si="3"/>
        <v>21981728</v>
      </c>
      <c r="J10" s="16">
        <f t="shared" si="3"/>
        <v>21981728</v>
      </c>
      <c r="K10" s="16">
        <f t="shared" si="3"/>
        <v>21981728</v>
      </c>
      <c r="L10" s="16"/>
      <c r="M10" s="16"/>
      <c r="N10" s="13">
        <f>N3+N5-N6-N7-N8-N9</f>
        <v>21981728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8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110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f>4276474-3461-569149</f>
        <v>3703864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2903004</v>
      </c>
      <c r="C5" s="12">
        <v>4538650</v>
      </c>
      <c r="D5" s="12">
        <v>2307285</v>
      </c>
      <c r="E5" s="12">
        <v>1665087</v>
      </c>
      <c r="F5" s="12">
        <v>4004400</v>
      </c>
      <c r="G5" s="12">
        <v>2027007</v>
      </c>
      <c r="H5" s="12">
        <v>3130933</v>
      </c>
      <c r="I5" s="12">
        <v>2815933</v>
      </c>
      <c r="J5" s="12">
        <v>3959794</v>
      </c>
      <c r="K5" s="12">
        <v>1274187</v>
      </c>
      <c r="L5" s="12">
        <v>5721341</v>
      </c>
      <c r="M5" s="12">
        <v>2891842</v>
      </c>
      <c r="N5" s="13">
        <f>SUM(B5:M5)</f>
        <v>37239463</v>
      </c>
    </row>
    <row r="6" spans="1:14" x14ac:dyDescent="0.25">
      <c r="A6" s="11" t="s">
        <v>95</v>
      </c>
      <c r="B6" s="12"/>
      <c r="C6" s="12"/>
      <c r="D6" s="12">
        <v>878933</v>
      </c>
      <c r="E6" s="12">
        <v>877279</v>
      </c>
      <c r="F6" s="12">
        <v>181182</v>
      </c>
      <c r="G6" s="12">
        <v>402591</v>
      </c>
      <c r="H6" s="12">
        <v>514544</v>
      </c>
      <c r="I6" s="12">
        <v>197734</v>
      </c>
      <c r="J6" s="12">
        <v>170634</v>
      </c>
      <c r="K6" s="12">
        <v>230341</v>
      </c>
      <c r="L6" s="12"/>
      <c r="M6" s="14">
        <v>196130</v>
      </c>
      <c r="N6" s="13">
        <f t="shared" ref="N6:N9" si="0">SUM(B6:M6)</f>
        <v>3649368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>
        <v>11145518</v>
      </c>
      <c r="E9" s="12"/>
      <c r="F9" s="12"/>
      <c r="G9" s="12">
        <v>6039379</v>
      </c>
      <c r="H9" s="12"/>
      <c r="I9" s="12"/>
      <c r="J9" s="12"/>
      <c r="K9" s="12">
        <v>10648164</v>
      </c>
      <c r="L9" s="12"/>
      <c r="M9" s="12"/>
      <c r="N9" s="13">
        <f t="shared" si="0"/>
        <v>27833061</v>
      </c>
    </row>
    <row r="10" spans="1:14" s="17" customFormat="1" ht="14.25" x14ac:dyDescent="0.2">
      <c r="A10" s="15" t="s">
        <v>99</v>
      </c>
      <c r="B10" s="16">
        <f>N3+B5-B6-B7-B8-B9</f>
        <v>6606868</v>
      </c>
      <c r="C10" s="16">
        <f>B10+C5-C6-C7-C8-C9</f>
        <v>11145518</v>
      </c>
      <c r="D10" s="16">
        <f t="shared" ref="D10:E10" si="1">C10+D5-D6-D7-D8-D9</f>
        <v>1428352</v>
      </c>
      <c r="E10" s="16">
        <f t="shared" si="1"/>
        <v>2216160</v>
      </c>
      <c r="F10" s="16">
        <f t="shared" ref="F10" si="2">E10+F5-F6-F7-F8-F9</f>
        <v>6039378</v>
      </c>
      <c r="G10" s="16">
        <f t="shared" ref="G10:K10" si="3">F10+G5-G6-G7-G8-G9</f>
        <v>1624415</v>
      </c>
      <c r="H10" s="16">
        <f t="shared" si="3"/>
        <v>4240804</v>
      </c>
      <c r="I10" s="16">
        <f t="shared" si="3"/>
        <v>6859003</v>
      </c>
      <c r="J10" s="16">
        <f>I10+J5-J6-J7-J8-J9</f>
        <v>10648163</v>
      </c>
      <c r="K10" s="16">
        <f t="shared" si="3"/>
        <v>1043845</v>
      </c>
      <c r="L10" s="16">
        <f t="shared" ref="L10" si="4">K10+L5-L6-L7-L8-L9</f>
        <v>6765186</v>
      </c>
      <c r="M10" s="16">
        <f t="shared" ref="M10" si="5">L10+M5-M6-M7-M8-M9</f>
        <v>9460898</v>
      </c>
      <c r="N10" s="13">
        <f>N3+N5-N6-N7-N8-N9</f>
        <v>9460898</v>
      </c>
    </row>
    <row r="14" spans="1:14" x14ac:dyDescent="0.25">
      <c r="C14" s="30">
        <f>+C10-D9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C10" sqref="C10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59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1063174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1063174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>
        <v>1063174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1063174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60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f>22755463-574487</f>
        <v>22180976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19557874</v>
      </c>
      <c r="C5" s="12">
        <v>4436787</v>
      </c>
      <c r="D5" s="12">
        <v>3659218</v>
      </c>
      <c r="E5" s="12">
        <v>4623174</v>
      </c>
      <c r="F5" s="12">
        <v>5494625</v>
      </c>
      <c r="G5" s="12">
        <v>4727272</v>
      </c>
      <c r="H5" s="12">
        <v>3969388</v>
      </c>
      <c r="I5" s="12">
        <v>10126865</v>
      </c>
      <c r="J5" s="12"/>
      <c r="K5" s="12">
        <v>11652434</v>
      </c>
      <c r="L5" s="12">
        <v>4162415</v>
      </c>
      <c r="M5" s="12">
        <v>11073293</v>
      </c>
      <c r="N5" s="13">
        <f>SUM(B5:M5)</f>
        <v>83483345</v>
      </c>
    </row>
    <row r="6" spans="1:14" x14ac:dyDescent="0.25">
      <c r="A6" s="11" t="s">
        <v>95</v>
      </c>
      <c r="B6" s="12">
        <v>275212</v>
      </c>
      <c r="C6" s="12"/>
      <c r="D6" s="12"/>
      <c r="E6" s="12"/>
      <c r="F6" s="12"/>
      <c r="G6" s="12">
        <v>308846</v>
      </c>
      <c r="H6" s="12">
        <v>75340</v>
      </c>
      <c r="I6" s="12"/>
      <c r="J6" s="12"/>
      <c r="K6" s="12"/>
      <c r="L6" s="12">
        <v>237916</v>
      </c>
      <c r="M6" s="14"/>
      <c r="N6" s="13">
        <f t="shared" ref="N6:N9" si="0">SUM(B6:M6)</f>
        <v>897314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>
        <v>21596918</v>
      </c>
      <c r="F9" s="12">
        <v>27653879</v>
      </c>
      <c r="G9" s="12"/>
      <c r="H9" s="12">
        <v>14845071</v>
      </c>
      <c r="I9" s="12"/>
      <c r="J9" s="12"/>
      <c r="K9" s="12">
        <v>14020913</v>
      </c>
      <c r="L9" s="12">
        <v>11652434</v>
      </c>
      <c r="M9" s="12"/>
      <c r="N9" s="13">
        <f t="shared" si="0"/>
        <v>89769215</v>
      </c>
    </row>
    <row r="10" spans="1:14" s="17" customFormat="1" ht="14.25" x14ac:dyDescent="0.2">
      <c r="A10" s="15" t="s">
        <v>99</v>
      </c>
      <c r="B10" s="16">
        <f>N3+B5-B6-B7-B8-B9</f>
        <v>41463638</v>
      </c>
      <c r="C10" s="16">
        <f>B10+C5-C6-C7-C8-C9</f>
        <v>45900425</v>
      </c>
      <c r="D10" s="16">
        <f t="shared" ref="D10:F10" si="1">C10+D5-D6-D7-D8-D9</f>
        <v>49559643</v>
      </c>
      <c r="E10" s="16">
        <f t="shared" si="1"/>
        <v>32585899</v>
      </c>
      <c r="F10" s="16">
        <f t="shared" si="1"/>
        <v>10426645</v>
      </c>
      <c r="G10" s="16">
        <f t="shared" ref="G10" si="2">F10+G5-G6-G7-G8-G9</f>
        <v>14845071</v>
      </c>
      <c r="H10" s="16">
        <f t="shared" ref="H10:M10" si="3">G10+H5-H6-H7-H8-H9</f>
        <v>3894048</v>
      </c>
      <c r="I10" s="16">
        <f t="shared" si="3"/>
        <v>14020913</v>
      </c>
      <c r="J10" s="16">
        <f t="shared" si="3"/>
        <v>14020913</v>
      </c>
      <c r="K10" s="16">
        <f t="shared" si="3"/>
        <v>11652434</v>
      </c>
      <c r="L10" s="16">
        <f t="shared" si="3"/>
        <v>3924499</v>
      </c>
      <c r="M10" s="16">
        <f t="shared" si="3"/>
        <v>14997792</v>
      </c>
      <c r="N10" s="13">
        <f>N3+N5-N6-N7-N8-N9</f>
        <v>14997792</v>
      </c>
    </row>
    <row r="13" spans="1:14" x14ac:dyDescent="0.25">
      <c r="E13" s="30"/>
      <c r="H13" s="30"/>
      <c r="I13" s="30"/>
    </row>
    <row r="14" spans="1:14" x14ac:dyDescent="0.25">
      <c r="E14" s="30"/>
    </row>
    <row r="15" spans="1:14" x14ac:dyDescent="0.25">
      <c r="G15" s="30"/>
    </row>
    <row r="19" spans="5:7" x14ac:dyDescent="0.25">
      <c r="E19" s="30"/>
    </row>
    <row r="26" spans="5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.14062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133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125528406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3333571</v>
      </c>
      <c r="C5" s="12">
        <v>12791899</v>
      </c>
      <c r="D5" s="12">
        <v>9440371</v>
      </c>
      <c r="E5" s="12">
        <v>14902366</v>
      </c>
      <c r="F5" s="12">
        <v>11441090</v>
      </c>
      <c r="G5" s="12">
        <v>8629115</v>
      </c>
      <c r="H5" s="12">
        <v>9386840</v>
      </c>
      <c r="I5" s="12">
        <v>10704009</v>
      </c>
      <c r="J5" s="68">
        <v>3417633</v>
      </c>
      <c r="K5" s="12">
        <v>12714574</v>
      </c>
      <c r="L5" s="12">
        <v>6200096</v>
      </c>
      <c r="M5" s="12">
        <v>11436815</v>
      </c>
      <c r="N5" s="13">
        <f>SUM(B5:M5)</f>
        <v>114398379</v>
      </c>
    </row>
    <row r="6" spans="1:14" ht="15.75" x14ac:dyDescent="0.25">
      <c r="A6" s="11" t="s">
        <v>95</v>
      </c>
      <c r="B6" s="12"/>
      <c r="C6" s="12">
        <v>268620</v>
      </c>
      <c r="D6" s="12"/>
      <c r="E6" s="45">
        <v>415105</v>
      </c>
      <c r="F6" s="46"/>
      <c r="G6" s="46">
        <v>1269908</v>
      </c>
      <c r="H6" s="12">
        <v>1165997</v>
      </c>
      <c r="I6" s="12"/>
      <c r="J6" s="46">
        <v>1469234</v>
      </c>
      <c r="K6" s="12">
        <v>485393</v>
      </c>
      <c r="L6" s="12">
        <v>458609</v>
      </c>
      <c r="M6" s="14"/>
      <c r="N6" s="13">
        <f t="shared" ref="N6:N9" si="0">SUM(B6:M6)</f>
        <v>5532866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169</v>
      </c>
      <c r="B8" s="12"/>
      <c r="C8" s="12"/>
      <c r="D8" s="12"/>
      <c r="E8" s="12"/>
      <c r="F8" s="12"/>
      <c r="G8" s="12"/>
      <c r="H8" s="12"/>
      <c r="I8" s="12">
        <v>16103977</v>
      </c>
      <c r="J8" s="12"/>
      <c r="K8" s="12"/>
      <c r="L8" s="12"/>
      <c r="M8" s="14"/>
      <c r="N8" s="13">
        <f t="shared" si="0"/>
        <v>16103977</v>
      </c>
    </row>
    <row r="9" spans="1:14" x14ac:dyDescent="0.25">
      <c r="A9" s="11" t="s">
        <v>98</v>
      </c>
      <c r="B9" s="12">
        <v>72521501</v>
      </c>
      <c r="C9" s="12"/>
      <c r="D9" s="12"/>
      <c r="E9" s="12"/>
      <c r="F9" s="12">
        <v>5217774</v>
      </c>
      <c r="G9" s="12">
        <v>47725598</v>
      </c>
      <c r="H9" s="12">
        <v>24342737</v>
      </c>
      <c r="I9" s="12"/>
      <c r="J9" s="12"/>
      <c r="K9" s="12">
        <v>24953203</v>
      </c>
      <c r="L9" s="12"/>
      <c r="M9" s="12">
        <v>14121642</v>
      </c>
      <c r="N9" s="13">
        <f t="shared" si="0"/>
        <v>188882455</v>
      </c>
    </row>
    <row r="10" spans="1:14" s="17" customFormat="1" ht="14.25" x14ac:dyDescent="0.2">
      <c r="A10" s="15" t="s">
        <v>99</v>
      </c>
      <c r="B10" s="16">
        <f>N3+B5-B6-B7-B8-B9</f>
        <v>56340476</v>
      </c>
      <c r="C10" s="16">
        <f>B10+C5-C6-C7-C8-C9</f>
        <v>68863755</v>
      </c>
      <c r="D10" s="16">
        <f t="shared" ref="D10:F10" si="1">C10+D5-D6-D7-D8-D9</f>
        <v>78304126</v>
      </c>
      <c r="E10" s="16">
        <f t="shared" si="1"/>
        <v>92791387</v>
      </c>
      <c r="F10" s="16">
        <f t="shared" si="1"/>
        <v>99014703</v>
      </c>
      <c r="G10" s="16">
        <f t="shared" ref="G10" si="2">F10+G5-G6-G7-G8-G9</f>
        <v>58648312</v>
      </c>
      <c r="H10" s="16">
        <f t="shared" ref="H10:J10" si="3">G10+H5-H6-H7-H8-H9</f>
        <v>42526418</v>
      </c>
      <c r="I10" s="16">
        <f t="shared" si="3"/>
        <v>37126450</v>
      </c>
      <c r="J10" s="16">
        <f t="shared" si="3"/>
        <v>39074849</v>
      </c>
      <c r="K10" s="16">
        <f>J10+K5-K6-K7-K8-K9</f>
        <v>26350827</v>
      </c>
      <c r="L10" s="16">
        <f>K10+L5-L6-L7-L8-L9</f>
        <v>32092314</v>
      </c>
      <c r="M10" s="16">
        <f>L10+M5-M6-M7-M8-M9</f>
        <v>29407487</v>
      </c>
      <c r="N10" s="13">
        <f>N3+N5-N6-N7-N8-N9</f>
        <v>29407487</v>
      </c>
    </row>
    <row r="12" spans="1:14" ht="45" x14ac:dyDescent="0.25">
      <c r="I12" s="5" t="s">
        <v>171</v>
      </c>
    </row>
    <row r="13" spans="1:14" x14ac:dyDescent="0.25">
      <c r="L13" s="30"/>
    </row>
    <row r="14" spans="1:14" x14ac:dyDescent="0.25">
      <c r="L14" s="30"/>
      <c r="M14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L1" sqref="L1:N1"/>
    </sheetView>
  </sheetViews>
  <sheetFormatPr defaultColWidth="9.140625" defaultRowHeight="15" x14ac:dyDescent="0.25"/>
  <cols>
    <col min="1" max="11" width="16.7109375" style="5" customWidth="1"/>
    <col min="12" max="12" width="20" style="5" customWidth="1"/>
    <col min="13" max="14" width="16.710937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23414825281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105</v>
      </c>
      <c r="B5" s="12">
        <v>5365274144</v>
      </c>
      <c r="C5" s="12">
        <v>10931848766</v>
      </c>
      <c r="D5" s="12">
        <v>9128781074</v>
      </c>
      <c r="E5" s="12">
        <v>8923574947</v>
      </c>
      <c r="F5" s="12">
        <v>9854284086</v>
      </c>
      <c r="G5" s="12">
        <v>8634594342</v>
      </c>
      <c r="H5" s="12">
        <v>7653408959</v>
      </c>
      <c r="I5" s="12">
        <v>10029386766</v>
      </c>
      <c r="J5" s="12">
        <v>8241974126</v>
      </c>
      <c r="K5" s="12">
        <v>6807917826</v>
      </c>
      <c r="L5" s="12">
        <v>8727330701</v>
      </c>
      <c r="M5" s="12">
        <v>7272668040</v>
      </c>
      <c r="N5" s="13">
        <f>SUM(B5:M5)</f>
        <v>101571043777</v>
      </c>
    </row>
    <row r="6" spans="1:14" x14ac:dyDescent="0.25">
      <c r="A6" s="11" t="s">
        <v>95</v>
      </c>
      <c r="B6" s="12">
        <v>1114617616</v>
      </c>
      <c r="C6" s="12">
        <v>2142207974</v>
      </c>
      <c r="D6" s="12">
        <v>2348068934</v>
      </c>
      <c r="E6" s="12">
        <v>1728867470</v>
      </c>
      <c r="F6" s="12">
        <v>1821927727</v>
      </c>
      <c r="G6" s="12">
        <v>1545353284</v>
      </c>
      <c r="H6" s="12">
        <v>1454821588</v>
      </c>
      <c r="I6" s="12">
        <v>1308098780</v>
      </c>
      <c r="J6" s="12">
        <v>1498334372</v>
      </c>
      <c r="K6" s="12">
        <v>1629092511</v>
      </c>
      <c r="L6" s="12">
        <v>1338074455</v>
      </c>
      <c r="M6" s="14">
        <v>1257445369</v>
      </c>
      <c r="N6" s="13">
        <f t="shared" ref="N6:N9" si="0">SUM(B6:M6)</f>
        <v>19186910080</v>
      </c>
    </row>
    <row r="7" spans="1:14" x14ac:dyDescent="0.25">
      <c r="A7" s="11" t="s">
        <v>106</v>
      </c>
      <c r="B7" s="12">
        <v>193436881</v>
      </c>
      <c r="C7" s="12">
        <v>75493087</v>
      </c>
      <c r="D7" s="12">
        <v>121224890</v>
      </c>
      <c r="E7" s="12">
        <v>100214710</v>
      </c>
      <c r="F7" s="12">
        <v>98443002</v>
      </c>
      <c r="G7" s="12">
        <v>1116922821</v>
      </c>
      <c r="H7" s="12">
        <v>54877133</v>
      </c>
      <c r="I7" s="12">
        <v>85398119</v>
      </c>
      <c r="J7" s="12">
        <v>121031214</v>
      </c>
      <c r="K7" s="12">
        <v>93989460</v>
      </c>
      <c r="L7" s="12">
        <v>71931541</v>
      </c>
      <c r="M7" s="14">
        <v>102399908</v>
      </c>
      <c r="N7" s="13">
        <f t="shared" si="0"/>
        <v>2235362766</v>
      </c>
    </row>
    <row r="8" spans="1:14" x14ac:dyDescent="0.25">
      <c r="A8" s="11" t="s">
        <v>107</v>
      </c>
      <c r="B8" s="12">
        <v>2786660339</v>
      </c>
      <c r="C8" s="12">
        <v>666768298</v>
      </c>
      <c r="D8" s="12">
        <v>1074977385</v>
      </c>
      <c r="E8" s="12">
        <v>1194359760</v>
      </c>
      <c r="F8" s="12">
        <v>1160172051</v>
      </c>
      <c r="G8" s="12">
        <v>1562016215</v>
      </c>
      <c r="H8" s="12">
        <v>779141106</v>
      </c>
      <c r="I8" s="12">
        <v>851110915</v>
      </c>
      <c r="J8" s="12">
        <v>1106947486</v>
      </c>
      <c r="K8" s="12">
        <v>1392997198</v>
      </c>
      <c r="L8" s="12">
        <v>673225731</v>
      </c>
      <c r="M8" s="14">
        <v>1406078022</v>
      </c>
      <c r="N8" s="13">
        <f t="shared" si="0"/>
        <v>14654454506</v>
      </c>
    </row>
    <row r="9" spans="1:14" x14ac:dyDescent="0.25">
      <c r="A9" s="11" t="s">
        <v>98</v>
      </c>
      <c r="B9" s="12">
        <v>5822796123</v>
      </c>
      <c r="C9" s="12">
        <v>8241653521</v>
      </c>
      <c r="D9" s="12">
        <v>5523318163</v>
      </c>
      <c r="E9" s="12">
        <v>9463124964</v>
      </c>
      <c r="F9" s="12">
        <v>4658490943</v>
      </c>
      <c r="G9" s="12">
        <v>3444128257</v>
      </c>
      <c r="H9" s="12">
        <v>8465971846</v>
      </c>
      <c r="I9" s="12">
        <v>6611938559</v>
      </c>
      <c r="J9" s="12">
        <v>4594650383</v>
      </c>
      <c r="K9" s="12">
        <v>7515818672</v>
      </c>
      <c r="L9" s="12">
        <v>5565321493</v>
      </c>
      <c r="M9" s="12">
        <v>6618789260</v>
      </c>
      <c r="N9" s="13">
        <f t="shared" si="0"/>
        <v>76526002184</v>
      </c>
    </row>
    <row r="10" spans="1:14" s="17" customFormat="1" ht="14.25" x14ac:dyDescent="0.2">
      <c r="A10" s="15" t="s">
        <v>99</v>
      </c>
      <c r="B10" s="16">
        <f>N3+B5-B6-B7-B8-B9</f>
        <v>18862588466</v>
      </c>
      <c r="C10" s="16">
        <f>B10+C5-C6-C7-C8-C9</f>
        <v>18668314352</v>
      </c>
      <c r="D10" s="16">
        <f t="shared" ref="D10:I10" si="1">C10+D5-D6-D7-D8-D9</f>
        <v>18729506054</v>
      </c>
      <c r="E10" s="16">
        <f t="shared" si="1"/>
        <v>15166514097</v>
      </c>
      <c r="F10" s="16">
        <f t="shared" si="1"/>
        <v>17281764460</v>
      </c>
      <c r="G10" s="16">
        <f>F10+G5-G6-G7-G8-G9</f>
        <v>18247938225</v>
      </c>
      <c r="H10" s="16">
        <f t="shared" si="1"/>
        <v>15146535511</v>
      </c>
      <c r="I10" s="16">
        <f t="shared" si="1"/>
        <v>16319375904</v>
      </c>
      <c r="J10" s="16">
        <f t="shared" ref="J10" si="2">I10+J5-J6-J7-J8-J9</f>
        <v>17240386575</v>
      </c>
      <c r="K10" s="16">
        <f t="shared" ref="K10" si="3">J10+K5-K6-K7-K8-K9</f>
        <v>13416406560</v>
      </c>
      <c r="L10" s="16">
        <f t="shared" ref="L10:M10" si="4">K10+L5-L6-L7-L8-L9</f>
        <v>14495184041</v>
      </c>
      <c r="M10" s="16">
        <f t="shared" si="4"/>
        <v>12383139522</v>
      </c>
      <c r="N10" s="13">
        <f>N3+N5-N6-N7-N8-N9</f>
        <v>12383139522</v>
      </c>
    </row>
    <row r="11" spans="1:14" x14ac:dyDescent="0.25">
      <c r="B11" s="30"/>
      <c r="C11" s="30"/>
      <c r="D11" s="30"/>
      <c r="E11" s="30"/>
      <c r="F11" s="30"/>
      <c r="G11" s="30"/>
      <c r="H11" s="30"/>
      <c r="I11" s="30"/>
      <c r="J11" s="30"/>
    </row>
    <row r="12" spans="1:14" x14ac:dyDescent="0.25">
      <c r="B12" s="87"/>
      <c r="C12" s="88">
        <v>55084806</v>
      </c>
      <c r="E12" s="88">
        <v>12775</v>
      </c>
      <c r="G12" s="30"/>
      <c r="J12" s="30"/>
      <c r="L12" s="1" t="s">
        <v>206</v>
      </c>
      <c r="M12" s="65">
        <v>14308650432</v>
      </c>
      <c r="N12" s="1"/>
    </row>
    <row r="13" spans="1:14" x14ac:dyDescent="0.25">
      <c r="B13" s="88"/>
      <c r="C13" s="88">
        <v>20408281</v>
      </c>
      <c r="E13" s="88">
        <v>94044688</v>
      </c>
      <c r="H13" s="65"/>
      <c r="L13" s="5" t="s">
        <v>207</v>
      </c>
      <c r="M13" s="65">
        <v>1257445369</v>
      </c>
      <c r="N13" s="1"/>
    </row>
    <row r="14" spans="1:14" x14ac:dyDescent="0.25">
      <c r="E14" s="88">
        <v>6157247</v>
      </c>
      <c r="L14" s="5" t="s">
        <v>208</v>
      </c>
      <c r="M14" s="65">
        <v>642240000</v>
      </c>
      <c r="N14" s="1"/>
    </row>
    <row r="15" spans="1:14" x14ac:dyDescent="0.25">
      <c r="L15" s="5" t="s">
        <v>209</v>
      </c>
      <c r="M15" s="65">
        <v>31922</v>
      </c>
    </row>
    <row r="16" spans="1:14" x14ac:dyDescent="0.25">
      <c r="M16" s="65">
        <f>M12-M13-M14-M15</f>
        <v>12408933141</v>
      </c>
    </row>
    <row r="17" spans="7:13" x14ac:dyDescent="0.25">
      <c r="M17" s="30"/>
    </row>
    <row r="18" spans="7:13" x14ac:dyDescent="0.25">
      <c r="M18" s="30"/>
    </row>
    <row r="26" spans="7:13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" style="5" customWidth="1"/>
    <col min="2" max="13" width="15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61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940886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8618936</v>
      </c>
      <c r="C5" s="12">
        <v>3559941</v>
      </c>
      <c r="D5" s="12">
        <v>4452074</v>
      </c>
      <c r="E5" s="12">
        <v>7300745</v>
      </c>
      <c r="F5" s="12">
        <v>4577030</v>
      </c>
      <c r="G5" s="12">
        <v>2999042</v>
      </c>
      <c r="H5" s="12">
        <v>5448784</v>
      </c>
      <c r="I5" s="12">
        <v>6468858</v>
      </c>
      <c r="J5" s="12">
        <v>3777034</v>
      </c>
      <c r="K5" s="12"/>
      <c r="L5" s="12"/>
      <c r="M5" s="12"/>
      <c r="N5" s="13">
        <f>SUM(B5:M5)</f>
        <v>47202444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6200592</v>
      </c>
      <c r="C9" s="12">
        <v>6919171</v>
      </c>
      <c r="D9" s="12">
        <v>4452074</v>
      </c>
      <c r="E9" s="12">
        <v>2841662</v>
      </c>
      <c r="F9" s="12">
        <v>9036113</v>
      </c>
      <c r="G9" s="12">
        <v>2999042</v>
      </c>
      <c r="H9" s="12">
        <v>3441737</v>
      </c>
      <c r="I9" s="12">
        <v>8475905</v>
      </c>
      <c r="J9" s="12">
        <v>2044987</v>
      </c>
      <c r="K9" s="12"/>
      <c r="L9" s="12"/>
      <c r="M9" s="12"/>
      <c r="N9" s="13">
        <f t="shared" si="0"/>
        <v>46411283</v>
      </c>
    </row>
    <row r="10" spans="1:14" s="17" customFormat="1" ht="14.25" x14ac:dyDescent="0.2">
      <c r="A10" s="15" t="s">
        <v>99</v>
      </c>
      <c r="B10" s="16">
        <f>N3+B5-B6-B7-B8-B9</f>
        <v>3359230</v>
      </c>
      <c r="C10" s="16">
        <f>B10+C5-C6-C7-C8-C9</f>
        <v>0</v>
      </c>
      <c r="D10" s="16">
        <f t="shared" ref="D10:F10" si="1">C10+D5-D6-D7-D8-D9</f>
        <v>0</v>
      </c>
      <c r="E10" s="16">
        <f t="shared" si="1"/>
        <v>4459083</v>
      </c>
      <c r="F10" s="16">
        <f t="shared" si="1"/>
        <v>0</v>
      </c>
      <c r="G10" s="16">
        <f t="shared" ref="G10" si="2">F10+G5-G6-G7-G8-G9</f>
        <v>0</v>
      </c>
      <c r="H10" s="16">
        <f t="shared" ref="H10:J10" si="3">G10+H5-H6-H7-H8-H9</f>
        <v>2007047</v>
      </c>
      <c r="I10" s="16">
        <f t="shared" si="3"/>
        <v>0</v>
      </c>
      <c r="J10" s="16">
        <f t="shared" si="3"/>
        <v>1732047</v>
      </c>
      <c r="K10" s="16"/>
      <c r="L10" s="16"/>
      <c r="M10" s="16"/>
      <c r="N10" s="13">
        <f>N3+N5-N6-N7-N8-N9</f>
        <v>1732047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134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58804973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49543230</v>
      </c>
      <c r="C5" s="12">
        <v>51592492</v>
      </c>
      <c r="D5" s="12">
        <v>64762719</v>
      </c>
      <c r="E5" s="12">
        <v>53224349</v>
      </c>
      <c r="F5" s="12">
        <v>73792429</v>
      </c>
      <c r="G5" s="12">
        <v>54256364</v>
      </c>
      <c r="H5" s="12">
        <v>81453727</v>
      </c>
      <c r="I5" s="12">
        <v>105362018</v>
      </c>
      <c r="J5" s="12">
        <v>112777301</v>
      </c>
      <c r="K5" s="12">
        <v>94143488</v>
      </c>
      <c r="L5" s="12">
        <v>134987515</v>
      </c>
      <c r="M5" s="12">
        <v>120279471</v>
      </c>
      <c r="N5" s="13">
        <f>SUM(B5:M5)</f>
        <v>996175103</v>
      </c>
    </row>
    <row r="6" spans="1:14" x14ac:dyDescent="0.25">
      <c r="A6" s="11" t="s">
        <v>95</v>
      </c>
      <c r="B6" s="12">
        <v>1264152</v>
      </c>
      <c r="C6" s="12">
        <v>4734884</v>
      </c>
      <c r="D6" s="12">
        <v>3719063</v>
      </c>
      <c r="E6" s="12">
        <v>122164</v>
      </c>
      <c r="F6" s="12"/>
      <c r="G6" s="12">
        <v>244328</v>
      </c>
      <c r="H6" s="12">
        <v>260403</v>
      </c>
      <c r="I6" s="12"/>
      <c r="J6" s="12"/>
      <c r="K6" s="12"/>
      <c r="L6" s="12"/>
      <c r="M6" s="14">
        <v>119943</v>
      </c>
      <c r="N6" s="13">
        <f t="shared" ref="N6:N9" si="0">SUM(B6:M6)</f>
        <v>10464937</v>
      </c>
    </row>
    <row r="7" spans="1:14" x14ac:dyDescent="0.25">
      <c r="A7" s="11" t="s">
        <v>96</v>
      </c>
      <c r="B7" s="12"/>
      <c r="C7" s="12"/>
      <c r="D7" s="12"/>
      <c r="E7" s="12">
        <v>19858527</v>
      </c>
      <c r="F7" s="12">
        <v>8403994</v>
      </c>
      <c r="G7" s="12">
        <v>7984174</v>
      </c>
      <c r="H7" s="12"/>
      <c r="I7" s="12"/>
      <c r="J7" s="12">
        <v>5400000</v>
      </c>
      <c r="K7" s="12">
        <v>16417880</v>
      </c>
      <c r="L7" s="12"/>
      <c r="M7" s="14"/>
      <c r="N7" s="13">
        <f t="shared" si="0"/>
        <v>58064575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 x14ac:dyDescent="0.25">
      <c r="A9" s="11" t="s">
        <v>98</v>
      </c>
      <c r="B9" s="12">
        <v>58804973</v>
      </c>
      <c r="C9" s="12"/>
      <c r="D9" s="12">
        <v>43544194</v>
      </c>
      <c r="E9" s="12">
        <v>28014902</v>
      </c>
      <c r="F9" s="12">
        <v>109460910</v>
      </c>
      <c r="G9" s="12">
        <v>73548801</v>
      </c>
      <c r="H9" s="12">
        <v>46011787</v>
      </c>
      <c r="I9" s="12">
        <v>81453727</v>
      </c>
      <c r="J9" s="12"/>
      <c r="K9" s="12">
        <v>196321439</v>
      </c>
      <c r="L9" s="45">
        <v>94143488</v>
      </c>
      <c r="M9" s="12"/>
      <c r="N9" s="13">
        <f t="shared" si="0"/>
        <v>731304221</v>
      </c>
    </row>
    <row r="10" spans="1:14" s="17" customFormat="1" ht="14.25" x14ac:dyDescent="0.2">
      <c r="A10" s="15" t="s">
        <v>99</v>
      </c>
      <c r="B10" s="16">
        <f>N3+B5-B6-B7-B8-B9</f>
        <v>48279078</v>
      </c>
      <c r="C10" s="16">
        <f>B10+C5-C6-C7-C8-C9</f>
        <v>95136686</v>
      </c>
      <c r="D10" s="16">
        <f t="shared" ref="D10:F10" si="1">C10+D5-D6-D7-D8-D9</f>
        <v>112636148</v>
      </c>
      <c r="E10" s="16">
        <f t="shared" si="1"/>
        <v>117864904</v>
      </c>
      <c r="F10" s="16">
        <f t="shared" si="1"/>
        <v>73792429</v>
      </c>
      <c r="G10" s="16">
        <f t="shared" ref="G10" si="2">F10+G5-G6-G7-G8-G9</f>
        <v>46271490</v>
      </c>
      <c r="H10" s="16">
        <f t="shared" ref="H10:M10" si="3">G10+H5-H6-H7-H8-H9</f>
        <v>81453027</v>
      </c>
      <c r="I10" s="16">
        <f t="shared" si="3"/>
        <v>105361318</v>
      </c>
      <c r="J10" s="16">
        <f t="shared" si="3"/>
        <v>212738619</v>
      </c>
      <c r="K10" s="16">
        <f t="shared" si="3"/>
        <v>94142788</v>
      </c>
      <c r="L10" s="16">
        <f t="shared" si="3"/>
        <v>134986815</v>
      </c>
      <c r="M10" s="16">
        <f t="shared" si="3"/>
        <v>255146343</v>
      </c>
      <c r="N10" s="13">
        <f>N3+N5-N6-N7-N8-N9</f>
        <v>255146343</v>
      </c>
    </row>
    <row r="12" spans="1:14" x14ac:dyDescent="0.25">
      <c r="E12" s="5" t="s">
        <v>158</v>
      </c>
      <c r="F12" s="5" t="s">
        <v>159</v>
      </c>
      <c r="G12" s="5" t="s">
        <v>179</v>
      </c>
      <c r="K12" s="5" t="s">
        <v>199</v>
      </c>
    </row>
    <row r="13" spans="1:14" x14ac:dyDescent="0.25">
      <c r="B13" s="5" t="s">
        <v>160</v>
      </c>
    </row>
    <row r="14" spans="1:14" x14ac:dyDescent="0.25">
      <c r="G14" s="30"/>
    </row>
    <row r="17" spans="7:8" x14ac:dyDescent="0.25">
      <c r="H17" s="30"/>
    </row>
    <row r="26" spans="7:8" x14ac:dyDescent="0.25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9.140625" style="5" customWidth="1"/>
    <col min="2" max="13" width="14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63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1185000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>
        <v>1031076</v>
      </c>
      <c r="E5" s="12">
        <v>1030938</v>
      </c>
      <c r="F5" s="12"/>
      <c r="G5" s="12">
        <v>845532</v>
      </c>
      <c r="H5" s="12"/>
      <c r="I5" s="12">
        <v>1012193</v>
      </c>
      <c r="J5" s="12">
        <v>1012193</v>
      </c>
      <c r="K5" s="12">
        <v>575724</v>
      </c>
      <c r="L5" s="12"/>
      <c r="M5" s="12">
        <v>652034</v>
      </c>
      <c r="N5" s="13">
        <f>SUM(B5:M5)</f>
        <v>6159690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>
        <v>1185000</v>
      </c>
      <c r="E9" s="12">
        <v>1031076</v>
      </c>
      <c r="F9" s="12"/>
      <c r="G9" s="12"/>
      <c r="H9" s="12"/>
      <c r="I9" s="12">
        <v>845000</v>
      </c>
      <c r="J9" s="12">
        <v>1012193</v>
      </c>
      <c r="K9" s="12">
        <v>2043131</v>
      </c>
      <c r="L9" s="12">
        <v>575724</v>
      </c>
      <c r="M9" s="12"/>
      <c r="N9" s="13">
        <f t="shared" si="0"/>
        <v>6692124</v>
      </c>
    </row>
    <row r="10" spans="1:14" s="17" customFormat="1" ht="14.25" x14ac:dyDescent="0.2">
      <c r="A10" s="15" t="s">
        <v>99</v>
      </c>
      <c r="B10" s="16">
        <f>N3+B5-B6-B7-B8-B9</f>
        <v>1185000</v>
      </c>
      <c r="C10" s="16">
        <f>B10+C5-C6-C7-C8-C9</f>
        <v>1185000</v>
      </c>
      <c r="D10" s="16">
        <f t="shared" ref="D10:E10" si="1">C10+D5-D6-D7-D8-D9</f>
        <v>1031076</v>
      </c>
      <c r="E10" s="16">
        <f t="shared" si="1"/>
        <v>1030938</v>
      </c>
      <c r="F10" s="16">
        <f t="shared" ref="F10" si="2">E10+F5-F6-F7-F8-F9</f>
        <v>1030938</v>
      </c>
      <c r="G10" s="16">
        <f t="shared" ref="G10" si="3">F10+G5-G6-G7-G8-G9</f>
        <v>1876470</v>
      </c>
      <c r="H10" s="16">
        <f t="shared" ref="H10:K10" si="4">G10+H5-H6-H7-H8-H9</f>
        <v>1876470</v>
      </c>
      <c r="I10" s="16">
        <f t="shared" si="4"/>
        <v>2043663</v>
      </c>
      <c r="J10" s="16">
        <f t="shared" si="4"/>
        <v>2043663</v>
      </c>
      <c r="K10" s="16">
        <f t="shared" si="4"/>
        <v>576256</v>
      </c>
      <c r="L10" s="16">
        <f t="shared" ref="L10" si="5">K10+L5-L6-L7-L8-L9</f>
        <v>532</v>
      </c>
      <c r="M10" s="16">
        <f t="shared" ref="M10" si="6">L10+M5-M6-M7-M8-M9</f>
        <v>652566</v>
      </c>
      <c r="N10" s="13">
        <f>N3+N5-N6-N7-N8-N9</f>
        <v>652566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64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1865717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2647258</v>
      </c>
      <c r="C5" s="12">
        <v>2690115</v>
      </c>
      <c r="D5" s="12">
        <v>887350</v>
      </c>
      <c r="E5" s="12">
        <v>1434373</v>
      </c>
      <c r="F5" s="12">
        <v>678427</v>
      </c>
      <c r="G5" s="12">
        <v>1948755</v>
      </c>
      <c r="H5" s="12">
        <v>615860</v>
      </c>
      <c r="I5" s="12">
        <v>1368562</v>
      </c>
      <c r="J5" s="12">
        <v>1771873</v>
      </c>
      <c r="K5" s="12">
        <v>427178</v>
      </c>
      <c r="L5" s="12">
        <v>3757870</v>
      </c>
      <c r="M5" s="12"/>
      <c r="N5" s="13">
        <f>SUM(B5:M5)</f>
        <v>18227621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>
        <v>565195</v>
      </c>
      <c r="I6" s="12">
        <v>1051105</v>
      </c>
      <c r="J6" s="12"/>
      <c r="K6" s="12">
        <v>801417</v>
      </c>
      <c r="L6" s="12">
        <v>360622</v>
      </c>
      <c r="M6" s="14"/>
      <c r="N6" s="13">
        <f t="shared" ref="N6:N9" si="0">SUM(B6:M6)</f>
        <v>2778339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3014007</v>
      </c>
      <c r="C9" s="12">
        <v>4189083</v>
      </c>
      <c r="D9" s="12">
        <v>357969</v>
      </c>
      <c r="E9" s="12">
        <v>1963754</v>
      </c>
      <c r="F9" s="12">
        <v>678427</v>
      </c>
      <c r="G9" s="12">
        <v>1948755</v>
      </c>
      <c r="H9" s="12">
        <v>509996</v>
      </c>
      <c r="I9" s="12">
        <v>909231</v>
      </c>
      <c r="J9" s="12">
        <v>720768</v>
      </c>
      <c r="K9" s="12">
        <v>250976</v>
      </c>
      <c r="L9" s="12">
        <v>1680368</v>
      </c>
      <c r="M9" s="12">
        <v>1091665</v>
      </c>
      <c r="N9" s="13">
        <f t="shared" si="0"/>
        <v>17314999</v>
      </c>
    </row>
    <row r="10" spans="1:14" s="17" customFormat="1" ht="14.25" x14ac:dyDescent="0.2">
      <c r="A10" s="15" t="s">
        <v>99</v>
      </c>
      <c r="B10" s="16">
        <f>N3+B5-B6-B7-B8-B9</f>
        <v>1498968</v>
      </c>
      <c r="C10" s="16">
        <f>B10+C5-C6-C7-C8-C9</f>
        <v>0</v>
      </c>
      <c r="D10" s="16">
        <f t="shared" ref="D10:F10" si="1">C10+D5-D6-D7-D8-D9</f>
        <v>529381</v>
      </c>
      <c r="E10" s="16">
        <f t="shared" si="1"/>
        <v>0</v>
      </c>
      <c r="F10" s="16">
        <f t="shared" si="1"/>
        <v>0</v>
      </c>
      <c r="G10" s="16">
        <f t="shared" ref="G10" si="2">F10+G5-G6-G7-G8-G9</f>
        <v>0</v>
      </c>
      <c r="H10" s="16">
        <f t="shared" ref="H10:M10" si="3">G10+H5-H6-H7-H8-H9</f>
        <v>-459331</v>
      </c>
      <c r="I10" s="16">
        <f t="shared" si="3"/>
        <v>-1051105</v>
      </c>
      <c r="J10" s="16">
        <f t="shared" si="3"/>
        <v>0</v>
      </c>
      <c r="K10" s="16">
        <f t="shared" si="3"/>
        <v>-625215</v>
      </c>
      <c r="L10" s="16">
        <f t="shared" si="3"/>
        <v>1091665</v>
      </c>
      <c r="M10" s="16">
        <f t="shared" si="3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7.2851562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16560202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7468142</v>
      </c>
      <c r="C5" s="12">
        <v>3044069</v>
      </c>
      <c r="D5" s="12">
        <v>2029379</v>
      </c>
      <c r="E5" s="12"/>
      <c r="F5" s="12">
        <v>2273707</v>
      </c>
      <c r="G5" s="12">
        <v>3275305</v>
      </c>
      <c r="H5" s="12">
        <v>3183937</v>
      </c>
      <c r="I5" s="12">
        <v>2894994</v>
      </c>
      <c r="J5" s="12"/>
      <c r="K5" s="12">
        <v>2646594</v>
      </c>
      <c r="L5" s="12"/>
      <c r="M5" s="12">
        <v>2696371</v>
      </c>
      <c r="N5" s="13">
        <f>SUM(B5:M5)</f>
        <v>29512498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>
        <v>293300</v>
      </c>
      <c r="I6" s="12"/>
      <c r="J6" s="12"/>
      <c r="K6" s="12"/>
      <c r="L6" s="12"/>
      <c r="M6" s="14"/>
      <c r="N6" s="13">
        <f t="shared" ref="N6:N9" si="0">SUM(B6:M6)</f>
        <v>293300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>
        <v>29101792</v>
      </c>
      <c r="G9" s="12">
        <v>2273707</v>
      </c>
      <c r="H9" s="12"/>
      <c r="I9" s="12"/>
      <c r="J9" s="12"/>
      <c r="K9" s="12">
        <v>9060936</v>
      </c>
      <c r="L9" s="12"/>
      <c r="M9" s="12"/>
      <c r="N9" s="13">
        <f t="shared" si="0"/>
        <v>40436435</v>
      </c>
    </row>
    <row r="10" spans="1:14" s="17" customFormat="1" ht="14.25" x14ac:dyDescent="0.2">
      <c r="A10" s="15" t="s">
        <v>99</v>
      </c>
      <c r="B10" s="16">
        <f>N3+B5-B6-B7-B8-B9</f>
        <v>24028344</v>
      </c>
      <c r="C10" s="16">
        <f>B10+C5-C6-C7-C8-C9</f>
        <v>27072413</v>
      </c>
      <c r="D10" s="16">
        <f t="shared" ref="D10:F10" si="1">C10+D5-D6-D7-D8-D9</f>
        <v>29101792</v>
      </c>
      <c r="E10" s="16">
        <f t="shared" si="1"/>
        <v>29101792</v>
      </c>
      <c r="F10" s="16">
        <f t="shared" si="1"/>
        <v>2273707</v>
      </c>
      <c r="G10" s="16">
        <f t="shared" ref="G10" si="2">F10+G5-G6-G7-G8-G9</f>
        <v>3275305</v>
      </c>
      <c r="H10" s="16">
        <f t="shared" ref="H10:K10" si="3">G10+H5-H6-H7-H8-H9</f>
        <v>6165942</v>
      </c>
      <c r="I10" s="16">
        <f t="shared" si="3"/>
        <v>9060936</v>
      </c>
      <c r="J10" s="16">
        <f t="shared" si="3"/>
        <v>9060936</v>
      </c>
      <c r="K10" s="16">
        <f t="shared" si="3"/>
        <v>2646594</v>
      </c>
      <c r="L10" s="16">
        <f t="shared" ref="L10" si="4">K10+L5-L6-L7-L8-L9</f>
        <v>2646594</v>
      </c>
      <c r="M10" s="16">
        <f t="shared" ref="M10" si="5">L10+M5-M6-M7-M8-M9</f>
        <v>5342965</v>
      </c>
      <c r="N10" s="13">
        <f>N3+N5-N6-N7-N8-N9</f>
        <v>5342965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20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68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13834088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0</v>
      </c>
      <c r="C5" s="12">
        <v>4634417</v>
      </c>
      <c r="D5" s="12">
        <v>6102179</v>
      </c>
      <c r="E5" s="12">
        <v>2342229</v>
      </c>
      <c r="F5" s="12">
        <v>6152823</v>
      </c>
      <c r="G5" s="12">
        <v>4690136</v>
      </c>
      <c r="H5" s="12">
        <v>2265502</v>
      </c>
      <c r="I5" s="12">
        <v>2748674</v>
      </c>
      <c r="J5" s="12">
        <v>2171980</v>
      </c>
      <c r="K5" s="12">
        <v>3530315</v>
      </c>
      <c r="L5" s="12">
        <v>3939012</v>
      </c>
      <c r="M5" s="12">
        <v>2742144</v>
      </c>
      <c r="N5" s="13">
        <f>SUM(B5:M5)</f>
        <v>41319411</v>
      </c>
    </row>
    <row r="6" spans="1:14" x14ac:dyDescent="0.25">
      <c r="A6" s="11" t="s">
        <v>95</v>
      </c>
      <c r="B6" s="12"/>
      <c r="C6" s="12">
        <v>1660384</v>
      </c>
      <c r="D6" s="12">
        <v>1592129</v>
      </c>
      <c r="E6" s="12"/>
      <c r="F6" s="12"/>
      <c r="G6" s="12"/>
      <c r="H6" s="12">
        <v>1586730</v>
      </c>
      <c r="I6" s="12"/>
      <c r="J6" s="12"/>
      <c r="K6" s="12">
        <v>1708033</v>
      </c>
      <c r="L6" s="12">
        <v>480961</v>
      </c>
      <c r="M6" s="14">
        <v>709578</v>
      </c>
      <c r="N6" s="13">
        <f t="shared" ref="N6:N9" si="0">SUM(B6:M6)</f>
        <v>7737815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>
        <v>13834088</v>
      </c>
      <c r="E9" s="12"/>
      <c r="F9" s="12"/>
      <c r="G9" s="12">
        <v>9826312</v>
      </c>
      <c r="H9" s="12"/>
      <c r="I9" s="12"/>
      <c r="J9" s="12">
        <v>11521731</v>
      </c>
      <c r="K9" s="12">
        <v>4920654</v>
      </c>
      <c r="L9" s="12"/>
      <c r="M9" s="12"/>
      <c r="N9" s="13">
        <f t="shared" si="0"/>
        <v>40102785</v>
      </c>
    </row>
    <row r="10" spans="1:14" s="17" customFormat="1" ht="14.25" x14ac:dyDescent="0.2">
      <c r="A10" s="15" t="s">
        <v>99</v>
      </c>
      <c r="B10" s="16">
        <f>N3+B5-B6-B7-B8-B9</f>
        <v>13834088</v>
      </c>
      <c r="C10" s="16">
        <f>B10+C5-C6-C7-C8-C9</f>
        <v>16808121</v>
      </c>
      <c r="D10" s="16">
        <f t="shared" ref="D10:F10" si="1">C10+D5-D6-D7-D8-D9</f>
        <v>7484083</v>
      </c>
      <c r="E10" s="16">
        <f t="shared" si="1"/>
        <v>9826312</v>
      </c>
      <c r="F10" s="16">
        <f t="shared" si="1"/>
        <v>15979135</v>
      </c>
      <c r="G10" s="16">
        <f t="shared" ref="G10" si="2">F10+G5-G6-G7-G8-G9</f>
        <v>10842959</v>
      </c>
      <c r="H10" s="16">
        <f t="shared" ref="H10:L10" si="3">G10+H5-H6-H7-H8-H9</f>
        <v>11521731</v>
      </c>
      <c r="I10" s="16">
        <f t="shared" si="3"/>
        <v>14270405</v>
      </c>
      <c r="J10" s="16">
        <f t="shared" si="3"/>
        <v>4920654</v>
      </c>
      <c r="K10" s="16">
        <f t="shared" si="3"/>
        <v>1822282</v>
      </c>
      <c r="L10" s="16">
        <f t="shared" si="3"/>
        <v>5280333</v>
      </c>
      <c r="M10" s="16"/>
      <c r="N10" s="13">
        <f>N3+N5-N6-N7-N8-N9</f>
        <v>7312899</v>
      </c>
    </row>
    <row r="13" spans="1:14" x14ac:dyDescent="0.25">
      <c r="J13" s="30"/>
    </row>
    <row r="17" spans="7:7" x14ac:dyDescent="0.25">
      <c r="G17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topLeftCell="C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5703125" style="5" customWidth="1"/>
    <col min="14" max="14" width="15.42578125" style="5" customWidth="1"/>
    <col min="15" max="15" width="9.140625" style="1"/>
    <col min="16" max="16" width="11.28515625" style="1" bestFit="1" customWidth="1"/>
    <col min="17" max="16384" width="9.140625" style="1"/>
  </cols>
  <sheetData>
    <row r="1" spans="1:17" ht="15.75" x14ac:dyDescent="0.25">
      <c r="L1" s="100" t="s">
        <v>109</v>
      </c>
      <c r="M1" s="100"/>
      <c r="N1" s="100"/>
    </row>
    <row r="2" spans="1:17" ht="18.75" x14ac:dyDescent="0.25">
      <c r="B2" s="101" t="s">
        <v>69</v>
      </c>
      <c r="C2" s="101"/>
      <c r="D2" s="101"/>
      <c r="E2" s="101"/>
      <c r="F2" s="101"/>
    </row>
    <row r="3" spans="1:17" ht="29.25" x14ac:dyDescent="0.25">
      <c r="B3" s="5" t="s">
        <v>102</v>
      </c>
      <c r="M3" s="6" t="s">
        <v>100</v>
      </c>
      <c r="N3" s="7">
        <v>52632867</v>
      </c>
      <c r="P3" s="60"/>
      <c r="Q3" s="60"/>
    </row>
    <row r="4" spans="1:17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7" x14ac:dyDescent="0.25">
      <c r="A5" s="11" t="s">
        <v>94</v>
      </c>
      <c r="B5" s="12">
        <v>32497209</v>
      </c>
      <c r="C5" s="12">
        <v>47350417</v>
      </c>
      <c r="D5" s="12">
        <v>23506550</v>
      </c>
      <c r="E5" s="12">
        <v>57747898</v>
      </c>
      <c r="F5" s="12">
        <v>35399310</v>
      </c>
      <c r="G5" s="12">
        <v>30493579</v>
      </c>
      <c r="H5" s="12">
        <v>46316167</v>
      </c>
      <c r="I5" s="12">
        <v>65883035</v>
      </c>
      <c r="J5" s="12">
        <v>40836781</v>
      </c>
      <c r="K5" s="12">
        <v>40383775</v>
      </c>
      <c r="L5" s="12">
        <v>32189325</v>
      </c>
      <c r="M5" s="12">
        <v>36774588</v>
      </c>
      <c r="N5" s="13">
        <f>SUM(B5:M5)</f>
        <v>489378634</v>
      </c>
    </row>
    <row r="6" spans="1:17" x14ac:dyDescent="0.25">
      <c r="A6" s="11" t="s">
        <v>95</v>
      </c>
      <c r="B6" s="12"/>
      <c r="C6" s="12">
        <v>2968584</v>
      </c>
      <c r="D6" s="12"/>
      <c r="E6" s="12">
        <v>615981</v>
      </c>
      <c r="F6" s="12">
        <v>109947</v>
      </c>
      <c r="G6" s="12">
        <v>828257</v>
      </c>
      <c r="H6" s="12"/>
      <c r="I6" s="12">
        <v>323844</v>
      </c>
      <c r="J6" s="12"/>
      <c r="K6" s="12">
        <v>1372771</v>
      </c>
      <c r="L6" s="12">
        <v>472947</v>
      </c>
      <c r="M6" s="14">
        <v>3505851</v>
      </c>
      <c r="N6" s="13">
        <f t="shared" ref="N6:N9" si="0">SUM(B6:M6)</f>
        <v>10198182</v>
      </c>
    </row>
    <row r="7" spans="1:17" x14ac:dyDescent="0.25">
      <c r="A7" s="11" t="s">
        <v>96</v>
      </c>
      <c r="B7" s="12"/>
      <c r="C7" s="12"/>
      <c r="D7" s="12"/>
      <c r="E7" s="12"/>
      <c r="F7" s="12"/>
      <c r="G7" s="12">
        <f>8783404</f>
        <v>8783404</v>
      </c>
      <c r="H7" s="12"/>
      <c r="I7" s="12"/>
      <c r="J7" s="12"/>
      <c r="K7" s="12"/>
      <c r="L7" s="12"/>
      <c r="M7" s="14"/>
      <c r="N7" s="13">
        <f t="shared" si="0"/>
        <v>8783404</v>
      </c>
    </row>
    <row r="8" spans="1:17" x14ac:dyDescent="0.25">
      <c r="A8" s="11" t="s">
        <v>140</v>
      </c>
      <c r="B8" s="12"/>
      <c r="C8" s="12"/>
      <c r="D8" s="12">
        <v>24999</v>
      </c>
      <c r="E8" s="12"/>
      <c r="F8" s="12">
        <v>20172</v>
      </c>
      <c r="G8" s="12">
        <v>24750</v>
      </c>
      <c r="H8" s="12"/>
      <c r="I8" s="12"/>
      <c r="J8" s="12"/>
      <c r="K8" s="12"/>
      <c r="L8" s="12"/>
      <c r="M8" s="14"/>
      <c r="N8" s="13">
        <f t="shared" si="0"/>
        <v>69921</v>
      </c>
    </row>
    <row r="9" spans="1:17" x14ac:dyDescent="0.25">
      <c r="A9" s="11" t="s">
        <v>98</v>
      </c>
      <c r="B9" s="12"/>
      <c r="C9" s="12"/>
      <c r="D9" s="12">
        <v>85052207</v>
      </c>
      <c r="E9" s="12"/>
      <c r="F9" s="12">
        <v>67868211</v>
      </c>
      <c r="G9" s="12">
        <v>83267720</v>
      </c>
      <c r="H9" s="12">
        <v>25470851</v>
      </c>
      <c r="I9" s="12"/>
      <c r="J9" s="12">
        <v>111875358</v>
      </c>
      <c r="K9" s="12">
        <v>40836781</v>
      </c>
      <c r="L9" s="12">
        <v>40383775</v>
      </c>
      <c r="M9" s="12">
        <v>32189325</v>
      </c>
      <c r="N9" s="13">
        <f t="shared" si="0"/>
        <v>486944228</v>
      </c>
    </row>
    <row r="10" spans="1:17" s="17" customFormat="1" ht="14.25" x14ac:dyDescent="0.2">
      <c r="A10" s="15" t="s">
        <v>99</v>
      </c>
      <c r="B10" s="16">
        <f>N3+B5-B6-B7-B8-B9</f>
        <v>85130076</v>
      </c>
      <c r="C10" s="16">
        <f>B10+C5-C6-C7-C8-C9</f>
        <v>129511909</v>
      </c>
      <c r="D10" s="16">
        <f t="shared" ref="D10:F10" si="1">C10+D5-D6-D7-D8-D9</f>
        <v>67941253</v>
      </c>
      <c r="E10" s="16">
        <f t="shared" si="1"/>
        <v>125073170</v>
      </c>
      <c r="F10" s="16">
        <f t="shared" si="1"/>
        <v>92474150</v>
      </c>
      <c r="G10" s="16">
        <f t="shared" ref="G10" si="2">F10+G5-G6-G7-G8-G9</f>
        <v>30063598</v>
      </c>
      <c r="H10" s="16">
        <f t="shared" ref="H10:J10" si="3">G10+H5-H6-H7-H8-H9</f>
        <v>50908914</v>
      </c>
      <c r="I10" s="16">
        <f t="shared" si="3"/>
        <v>116468105</v>
      </c>
      <c r="J10" s="16">
        <f t="shared" si="3"/>
        <v>45429528</v>
      </c>
      <c r="K10" s="16">
        <f>J10+K5-K6-K7-K8-K9</f>
        <v>43603751</v>
      </c>
      <c r="L10" s="16">
        <f>K10+L5-L6-L7-L8-L9</f>
        <v>34936354</v>
      </c>
      <c r="M10" s="16">
        <f>L10+M5-M6-M7-M8-M9</f>
        <v>36015766</v>
      </c>
      <c r="N10" s="13">
        <f>N3+N5-N6-N7-N8-N9</f>
        <v>36015766</v>
      </c>
    </row>
    <row r="11" spans="1:17" x14ac:dyDescent="0.25">
      <c r="J11" s="30"/>
    </row>
    <row r="12" spans="1:17" x14ac:dyDescent="0.25">
      <c r="G12" s="30"/>
      <c r="H12" s="30"/>
      <c r="K12" s="5">
        <v>34940185</v>
      </c>
    </row>
    <row r="13" spans="1:17" x14ac:dyDescent="0.25">
      <c r="K13" s="30">
        <f>+K10-K12</f>
        <v>8663566</v>
      </c>
    </row>
    <row r="14" spans="1:17" x14ac:dyDescent="0.25">
      <c r="I14" s="30"/>
      <c r="J14" s="30"/>
    </row>
    <row r="16" spans="1:17" x14ac:dyDescent="0.25">
      <c r="K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legacy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70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90" zoomScaleNormal="90" workbookViewId="0">
      <selection activeCell="H17" sqref="H17"/>
    </sheetView>
  </sheetViews>
  <sheetFormatPr defaultColWidth="9.140625" defaultRowHeight="15" x14ac:dyDescent="0.2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275367893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221848692</v>
      </c>
      <c r="C5" s="12">
        <v>108288273</v>
      </c>
      <c r="D5" s="12">
        <v>77197541</v>
      </c>
      <c r="E5" s="12">
        <v>76504023</v>
      </c>
      <c r="F5" s="12">
        <v>88300839</v>
      </c>
      <c r="G5" s="12">
        <v>80499618</v>
      </c>
      <c r="H5" s="12">
        <v>79923733</v>
      </c>
      <c r="I5" s="12">
        <v>97209297</v>
      </c>
      <c r="J5" s="12">
        <v>75690821</v>
      </c>
      <c r="K5" s="12">
        <v>72689162</v>
      </c>
      <c r="L5" s="12">
        <v>89309913</v>
      </c>
      <c r="M5" s="12">
        <v>120177834</v>
      </c>
      <c r="N5" s="13">
        <f>SUM(B5:M5)</f>
        <v>1187639746</v>
      </c>
    </row>
    <row r="6" spans="1:14" x14ac:dyDescent="0.25">
      <c r="A6" s="11" t="s">
        <v>95</v>
      </c>
      <c r="B6" s="12">
        <v>15394907</v>
      </c>
      <c r="C6" s="12">
        <v>21810735</v>
      </c>
      <c r="D6" s="12">
        <v>14158694</v>
      </c>
      <c r="E6" s="12">
        <v>15541361</v>
      </c>
      <c r="F6" s="12">
        <v>16484712</v>
      </c>
      <c r="G6" s="12">
        <v>9881769</v>
      </c>
      <c r="H6" s="12">
        <v>11956526</v>
      </c>
      <c r="I6" s="12">
        <v>5793626</v>
      </c>
      <c r="J6" s="12">
        <v>9356407</v>
      </c>
      <c r="K6" s="12">
        <v>9595983.8800000008</v>
      </c>
      <c r="L6" s="12">
        <v>5492949</v>
      </c>
      <c r="M6" s="14">
        <v>7716636</v>
      </c>
      <c r="N6" s="13">
        <f t="shared" ref="N6:N9" si="0">SUM(B6:M6)</f>
        <v>143184305.88</v>
      </c>
    </row>
    <row r="7" spans="1:14" x14ac:dyDescent="0.25">
      <c r="A7" s="11" t="s">
        <v>96</v>
      </c>
      <c r="B7" s="12">
        <v>33254484</v>
      </c>
      <c r="C7" s="12"/>
      <c r="D7" s="12"/>
      <c r="E7" s="12">
        <v>25393855</v>
      </c>
      <c r="F7" s="12">
        <v>48374256</v>
      </c>
      <c r="G7" s="12"/>
      <c r="H7" s="12">
        <v>14697707</v>
      </c>
      <c r="I7" s="12">
        <v>11334840</v>
      </c>
      <c r="J7" s="12">
        <v>6536015</v>
      </c>
      <c r="K7" s="12">
        <v>4743674</v>
      </c>
      <c r="L7" s="12">
        <v>4510868</v>
      </c>
      <c r="M7" s="12">
        <v>16791359</v>
      </c>
      <c r="N7" s="13">
        <f t="shared" si="0"/>
        <v>165637058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170217210</v>
      </c>
      <c r="C9" s="12"/>
      <c r="D9" s="12"/>
      <c r="E9" s="12"/>
      <c r="F9" s="12"/>
      <c r="G9" s="12">
        <f>486877050</f>
        <v>486877050</v>
      </c>
      <c r="H9" s="12">
        <v>55920130</v>
      </c>
      <c r="I9" s="12">
        <v>56632367</v>
      </c>
      <c r="J9" s="12">
        <v>84879656</v>
      </c>
      <c r="K9" s="12">
        <v>61590740</v>
      </c>
      <c r="L9" s="12">
        <v>58581916</v>
      </c>
      <c r="M9" s="12">
        <v>67025605</v>
      </c>
      <c r="N9" s="13">
        <f t="shared" si="0"/>
        <v>1041724674</v>
      </c>
    </row>
    <row r="10" spans="1:14" s="17" customFormat="1" ht="14.25" x14ac:dyDescent="0.2">
      <c r="A10" s="15" t="s">
        <v>99</v>
      </c>
      <c r="B10" s="16">
        <f>N3+B5-B6-B7-B8-B9</f>
        <v>278349984</v>
      </c>
      <c r="C10" s="16">
        <f>B10+C5-C6-C7-C8-C9</f>
        <v>364827522</v>
      </c>
      <c r="D10" s="16">
        <f>C10+D5-D6-D7-D8-D9</f>
        <v>427866369</v>
      </c>
      <c r="E10" s="16">
        <f t="shared" ref="E10:M10" si="1">D10+E5-E6-E7-E8-E9</f>
        <v>463435176</v>
      </c>
      <c r="F10" s="16">
        <f t="shared" si="1"/>
        <v>486877047</v>
      </c>
      <c r="G10" s="16">
        <f t="shared" si="1"/>
        <v>70617846</v>
      </c>
      <c r="H10" s="16">
        <f t="shared" si="1"/>
        <v>67967216</v>
      </c>
      <c r="I10" s="16">
        <f t="shared" si="1"/>
        <v>91415680</v>
      </c>
      <c r="J10" s="16">
        <f t="shared" si="1"/>
        <v>66334423</v>
      </c>
      <c r="K10" s="16">
        <f t="shared" si="1"/>
        <v>63093187.120000005</v>
      </c>
      <c r="L10" s="16">
        <f t="shared" si="1"/>
        <v>83817367.120000005</v>
      </c>
      <c r="M10" s="16">
        <f t="shared" si="1"/>
        <v>112461601.12</v>
      </c>
      <c r="N10" s="13">
        <f>N3+N5-N6-N7-N8-N9</f>
        <v>112461601.11999989</v>
      </c>
    </row>
    <row r="12" spans="1:14" ht="75" x14ac:dyDescent="0.25">
      <c r="B12" s="5" t="s">
        <v>141</v>
      </c>
      <c r="E12" s="5" t="s">
        <v>142</v>
      </c>
      <c r="F12" s="5" t="s">
        <v>143</v>
      </c>
      <c r="G12" s="30"/>
      <c r="H12" s="30" t="s">
        <v>177</v>
      </c>
      <c r="I12" s="30" t="s">
        <v>166</v>
      </c>
      <c r="J12" s="5" t="s">
        <v>180</v>
      </c>
      <c r="K12" s="5" t="s">
        <v>193</v>
      </c>
      <c r="L12" s="5" t="s">
        <v>204</v>
      </c>
      <c r="M12" s="86" t="s">
        <v>205</v>
      </c>
    </row>
    <row r="13" spans="1:14" x14ac:dyDescent="0.25">
      <c r="H13" s="30"/>
      <c r="J13" s="30"/>
    </row>
    <row r="14" spans="1:14" x14ac:dyDescent="0.25">
      <c r="G14" s="59"/>
    </row>
    <row r="15" spans="1:14" x14ac:dyDescent="0.25">
      <c r="L15" s="30">
        <f>+L5-L6-L7</f>
        <v>79306096</v>
      </c>
      <c r="M15" s="30">
        <f>M5-M6</f>
        <v>112461198</v>
      </c>
    </row>
    <row r="17" spans="7:9" x14ac:dyDescent="0.25">
      <c r="G17" s="30"/>
      <c r="I17" s="30"/>
    </row>
    <row r="18" spans="7:9" x14ac:dyDescent="0.25">
      <c r="G18" s="30"/>
    </row>
    <row r="22" spans="7:9" x14ac:dyDescent="0.25">
      <c r="H22" s="30">
        <f>+H9-70617836</f>
        <v>-14697706</v>
      </c>
    </row>
    <row r="24" spans="7:9" x14ac:dyDescent="0.25">
      <c r="G24" s="30"/>
    </row>
    <row r="26" spans="7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135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E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5703125" style="5" customWidth="1"/>
    <col min="14" max="14" width="15.42578125" style="5" customWidth="1"/>
    <col min="15" max="15" width="10.28515625" style="1" bestFit="1" customWidth="1"/>
    <col min="16" max="16384" width="9.140625" style="1"/>
  </cols>
  <sheetData>
    <row r="1" spans="1:15" ht="15.75" x14ac:dyDescent="0.25">
      <c r="L1" s="100" t="s">
        <v>109</v>
      </c>
      <c r="M1" s="100"/>
      <c r="N1" s="100"/>
    </row>
    <row r="2" spans="1:15" ht="18.75" x14ac:dyDescent="0.25">
      <c r="B2" s="101" t="s">
        <v>71</v>
      </c>
      <c r="C2" s="101"/>
      <c r="D2" s="101"/>
      <c r="E2" s="101"/>
      <c r="F2" s="101"/>
    </row>
    <row r="3" spans="1:15" ht="29.25" x14ac:dyDescent="0.25">
      <c r="B3" s="5" t="s">
        <v>102</v>
      </c>
      <c r="M3" s="6" t="s">
        <v>100</v>
      </c>
      <c r="N3" s="7">
        <v>25216301</v>
      </c>
    </row>
    <row r="4" spans="1:15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5" ht="15.75" x14ac:dyDescent="0.25">
      <c r="A5" s="11" t="s">
        <v>94</v>
      </c>
      <c r="B5" s="27">
        <v>606824</v>
      </c>
      <c r="C5" s="27">
        <v>2411281</v>
      </c>
      <c r="D5" s="27">
        <v>2317599</v>
      </c>
      <c r="E5" s="27">
        <v>3260883</v>
      </c>
      <c r="F5" s="27">
        <v>4373844</v>
      </c>
      <c r="G5" s="12">
        <v>3099833</v>
      </c>
      <c r="H5" s="12">
        <v>2997210</v>
      </c>
      <c r="I5" s="12">
        <v>3536528</v>
      </c>
      <c r="J5" s="12">
        <v>3259695</v>
      </c>
      <c r="K5" s="12">
        <v>718537</v>
      </c>
      <c r="L5" s="12">
        <v>2604350</v>
      </c>
      <c r="M5" s="12"/>
      <c r="N5" s="13">
        <f>SUM(B5:M5)</f>
        <v>29186584</v>
      </c>
      <c r="O5" s="60"/>
    </row>
    <row r="6" spans="1:15" ht="15.75" x14ac:dyDescent="0.25">
      <c r="A6" s="11" t="s">
        <v>95</v>
      </c>
      <c r="B6" s="27">
        <v>285609</v>
      </c>
      <c r="C6" s="27">
        <v>1157547</v>
      </c>
      <c r="D6" s="27">
        <v>1094095.2</v>
      </c>
      <c r="E6" s="27">
        <v>257831.2</v>
      </c>
      <c r="F6" s="27">
        <v>360743.5</v>
      </c>
      <c r="G6" s="12">
        <v>114789</v>
      </c>
      <c r="H6" s="12">
        <v>948358</v>
      </c>
      <c r="I6" s="12">
        <v>929046</v>
      </c>
      <c r="J6" s="12">
        <v>261055</v>
      </c>
      <c r="K6" s="12">
        <v>272708</v>
      </c>
      <c r="L6" s="12">
        <v>426465</v>
      </c>
      <c r="M6" s="14"/>
      <c r="N6" s="13">
        <f t="shared" ref="N6:N9" si="0">SUM(B6:M6)</f>
        <v>6108246.9000000004</v>
      </c>
    </row>
    <row r="7" spans="1:15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x14ac:dyDescent="0.25">
      <c r="A9" s="11" t="s">
        <v>98</v>
      </c>
      <c r="B9" s="12"/>
      <c r="C9" s="12"/>
      <c r="D9" s="12"/>
      <c r="E9" s="12">
        <v>26791250</v>
      </c>
      <c r="F9" s="12"/>
      <c r="G9" s="12">
        <v>8239656</v>
      </c>
      <c r="H9" s="12">
        <v>2985044</v>
      </c>
      <c r="I9" s="12">
        <v>2048852</v>
      </c>
      <c r="J9" s="12">
        <v>2605738</v>
      </c>
      <c r="K9" s="12">
        <v>3000339</v>
      </c>
      <c r="L9" s="12">
        <v>444958</v>
      </c>
      <c r="M9" s="12"/>
      <c r="N9" s="13">
        <f t="shared" si="0"/>
        <v>46115837</v>
      </c>
    </row>
    <row r="10" spans="1:15" s="17" customFormat="1" ht="14.25" x14ac:dyDescent="0.2">
      <c r="A10" s="15" t="s">
        <v>99</v>
      </c>
      <c r="B10" s="16">
        <f>N3+B5-B6-B7-B8-B9</f>
        <v>25537516</v>
      </c>
      <c r="C10" s="16">
        <f>B10+C5-C6-C7-C8-C9</f>
        <v>26791250</v>
      </c>
      <c r="D10" s="16">
        <f t="shared" ref="D10:F10" si="1">C10+D5-D6-D7-D8-D9</f>
        <v>28014753.800000001</v>
      </c>
      <c r="E10" s="16">
        <f t="shared" si="1"/>
        <v>4226555.6000000015</v>
      </c>
      <c r="F10" s="16">
        <f t="shared" si="1"/>
        <v>8239656.1000000015</v>
      </c>
      <c r="G10" s="16">
        <f t="shared" ref="G10" si="2">F10+G5-G6-G7-G8-G9</f>
        <v>2985044.1000000015</v>
      </c>
      <c r="H10" s="16">
        <f t="shared" ref="H10:L10" si="3">G10+H5-H6-H7-H8-H9</f>
        <v>2048852.1000000015</v>
      </c>
      <c r="I10" s="16">
        <f t="shared" si="3"/>
        <v>2607482.1000000015</v>
      </c>
      <c r="J10" s="16">
        <f t="shared" si="3"/>
        <v>3000384.1000000015</v>
      </c>
      <c r="K10" s="16">
        <f t="shared" si="3"/>
        <v>445874.10000000149</v>
      </c>
      <c r="L10" s="16">
        <f t="shared" si="3"/>
        <v>2178801.1000000015</v>
      </c>
      <c r="M10" s="16"/>
      <c r="N10" s="13">
        <f>N3+N5-N6-N7-N8-N9</f>
        <v>2178801.1000000015</v>
      </c>
    </row>
    <row r="11" spans="1:15" x14ac:dyDescent="0.25">
      <c r="L11" s="30"/>
    </row>
    <row r="12" spans="1:15" x14ac:dyDescent="0.25">
      <c r="I12" s="30"/>
    </row>
    <row r="13" spans="1:15" x14ac:dyDescent="0.25">
      <c r="G13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72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73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18" sqref="K18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74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75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25476465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28">
        <v>5725272</v>
      </c>
      <c r="C5" s="28">
        <v>7866707</v>
      </c>
      <c r="D5" s="27">
        <v>5374572</v>
      </c>
      <c r="E5" s="28">
        <v>6491465</v>
      </c>
      <c r="F5" s="28">
        <v>5595874</v>
      </c>
      <c r="G5" s="28">
        <v>7346958</v>
      </c>
      <c r="H5" s="28">
        <v>4516753</v>
      </c>
      <c r="I5" s="27">
        <v>2744591</v>
      </c>
      <c r="J5" s="12">
        <v>6373788</v>
      </c>
      <c r="K5" s="12">
        <v>6260762</v>
      </c>
      <c r="L5" s="12"/>
      <c r="M5" s="12"/>
      <c r="N5" s="13">
        <f>SUM(B5:M5)</f>
        <v>58296742</v>
      </c>
    </row>
    <row r="6" spans="1:14" ht="15.75" x14ac:dyDescent="0.25">
      <c r="A6" s="11" t="s">
        <v>95</v>
      </c>
      <c r="B6" s="12"/>
      <c r="C6" s="12">
        <v>346048</v>
      </c>
      <c r="D6" s="12">
        <v>173968</v>
      </c>
      <c r="E6" s="53">
        <v>203393</v>
      </c>
      <c r="F6" s="53">
        <v>50232</v>
      </c>
      <c r="G6" s="53">
        <v>372291</v>
      </c>
      <c r="H6" s="12">
        <v>146730</v>
      </c>
      <c r="I6" s="12">
        <v>117018</v>
      </c>
      <c r="J6" s="12">
        <v>145056</v>
      </c>
      <c r="K6" s="12">
        <v>312573</v>
      </c>
      <c r="L6" s="12"/>
      <c r="M6" s="14"/>
      <c r="N6" s="13">
        <f t="shared" ref="N6:N9" si="0">SUM(B6:M6)</f>
        <v>1867309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>
        <v>43923000</v>
      </c>
      <c r="G9" s="12"/>
      <c r="H9" s="12">
        <v>11833000</v>
      </c>
      <c r="I9" s="12"/>
      <c r="J9" s="12">
        <v>13972977</v>
      </c>
      <c r="K9" s="12"/>
      <c r="L9" s="12">
        <v>6228709</v>
      </c>
      <c r="M9" s="12"/>
      <c r="N9" s="13">
        <f t="shared" si="0"/>
        <v>75957686</v>
      </c>
    </row>
    <row r="10" spans="1:14" s="17" customFormat="1" ht="14.25" x14ac:dyDescent="0.2">
      <c r="A10" s="15" t="s">
        <v>99</v>
      </c>
      <c r="B10" s="16">
        <f>N3+B5-B6-B7-B8-B9</f>
        <v>31201737</v>
      </c>
      <c r="C10" s="16">
        <f>B10+C5-C6-C7-C8-C9</f>
        <v>38722396</v>
      </c>
      <c r="D10" s="16">
        <f t="shared" ref="D10:F10" si="1">C10+D5-D6-D7-D8-D9</f>
        <v>43923000</v>
      </c>
      <c r="E10" s="16">
        <f t="shared" si="1"/>
        <v>50211072</v>
      </c>
      <c r="F10" s="16">
        <f t="shared" si="1"/>
        <v>11833714</v>
      </c>
      <c r="G10" s="16">
        <f t="shared" ref="G10" si="2">F10+G5-G6-G7-G8-G9</f>
        <v>18808381</v>
      </c>
      <c r="H10" s="16">
        <f t="shared" ref="H10:L10" si="3">G10+H5-H6-H7-H8-H9</f>
        <v>11345404</v>
      </c>
      <c r="I10" s="16">
        <f t="shared" si="3"/>
        <v>13972977</v>
      </c>
      <c r="J10" s="16">
        <f t="shared" si="3"/>
        <v>6228732</v>
      </c>
      <c r="K10" s="16">
        <f t="shared" si="3"/>
        <v>12176921</v>
      </c>
      <c r="L10" s="16">
        <f t="shared" si="3"/>
        <v>5948212</v>
      </c>
      <c r="M10" s="16"/>
      <c r="N10" s="13">
        <f>N3+N5-N6-N7-N8-N9</f>
        <v>5948212</v>
      </c>
    </row>
    <row r="14" spans="1:14" x14ac:dyDescent="0.25">
      <c r="E14" s="30"/>
    </row>
    <row r="15" spans="1:14" x14ac:dyDescent="0.25">
      <c r="E15" s="30"/>
    </row>
    <row r="16" spans="1:14" x14ac:dyDescent="0.25">
      <c r="E16" s="30"/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8.5703125" style="5" customWidth="1"/>
    <col min="2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76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>
        <v>5509000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7667251</v>
      </c>
      <c r="C5" s="12">
        <v>12196701</v>
      </c>
      <c r="D5" s="12">
        <v>8812374</v>
      </c>
      <c r="E5" s="12">
        <v>7792191</v>
      </c>
      <c r="F5" s="12">
        <v>9762791</v>
      </c>
      <c r="G5" s="12">
        <v>7836380</v>
      </c>
      <c r="H5" s="12">
        <v>6915523</v>
      </c>
      <c r="I5" s="12">
        <v>12269538</v>
      </c>
      <c r="J5" s="12">
        <v>11794613</v>
      </c>
      <c r="K5" s="12">
        <v>6392031</v>
      </c>
      <c r="L5" s="12"/>
      <c r="M5" s="12"/>
      <c r="N5" s="13">
        <f>SUM(B5:M5)</f>
        <v>91439393</v>
      </c>
    </row>
    <row r="6" spans="1:14" x14ac:dyDescent="0.25">
      <c r="A6" s="11" t="s">
        <v>95</v>
      </c>
      <c r="B6" s="12"/>
      <c r="C6" s="12">
        <v>954952</v>
      </c>
      <c r="D6" s="12">
        <v>122374</v>
      </c>
      <c r="E6" s="12">
        <v>1067504</v>
      </c>
      <c r="F6" s="12">
        <v>1941273</v>
      </c>
      <c r="G6" s="12">
        <v>227965</v>
      </c>
      <c r="H6" s="12">
        <v>239886</v>
      </c>
      <c r="I6" s="12"/>
      <c r="J6" s="12"/>
      <c r="K6" s="12">
        <v>154853</v>
      </c>
      <c r="L6" s="12"/>
      <c r="M6" s="14"/>
      <c r="N6" s="13">
        <f t="shared" ref="N6:N9" si="0">SUM(B6:M6)</f>
        <v>4708807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>
        <v>5509000</v>
      </c>
      <c r="C9" s="12">
        <v>17242000</v>
      </c>
      <c r="D9" s="12">
        <v>1667000</v>
      </c>
      <c r="E9" s="12">
        <v>8690000</v>
      </c>
      <c r="F9" s="12">
        <v>6724687</v>
      </c>
      <c r="G9" s="12">
        <v>7821000</v>
      </c>
      <c r="H9" s="12">
        <f>11822900</f>
        <v>11822900</v>
      </c>
      <c r="I9" s="12">
        <f>2456000+7658774</f>
        <v>10114774</v>
      </c>
      <c r="J9" s="12">
        <v>10138690</v>
      </c>
      <c r="K9" s="12">
        <v>9069928</v>
      </c>
      <c r="L9" s="12"/>
      <c r="M9" s="12"/>
      <c r="N9" s="13">
        <f t="shared" si="0"/>
        <v>88799979</v>
      </c>
    </row>
    <row r="10" spans="1:14" s="17" customFormat="1" ht="14.25" x14ac:dyDescent="0.2">
      <c r="A10" s="15" t="s">
        <v>99</v>
      </c>
      <c r="B10" s="16">
        <f>N3+B5-B6-B7-B8-B9</f>
        <v>7667251</v>
      </c>
      <c r="C10" s="16">
        <f>B10+C5-C6-C7-C8-C9</f>
        <v>1667000</v>
      </c>
      <c r="D10" s="16">
        <f t="shared" ref="D10:K10" si="1">C10+D5-D6-D7-D8-D9</f>
        <v>8690000</v>
      </c>
      <c r="E10" s="16">
        <f t="shared" si="1"/>
        <v>6724687</v>
      </c>
      <c r="F10" s="16">
        <f t="shared" si="1"/>
        <v>7821518</v>
      </c>
      <c r="G10" s="16">
        <f t="shared" si="1"/>
        <v>7608933</v>
      </c>
      <c r="H10" s="16">
        <f t="shared" si="1"/>
        <v>2461670</v>
      </c>
      <c r="I10" s="16">
        <f t="shared" si="1"/>
        <v>4616434</v>
      </c>
      <c r="J10" s="16">
        <f t="shared" si="1"/>
        <v>6272357</v>
      </c>
      <c r="K10" s="16">
        <f t="shared" si="1"/>
        <v>3439607</v>
      </c>
      <c r="L10" s="16"/>
      <c r="M10" s="16"/>
      <c r="N10" s="13">
        <f>N3+N5-N6-N7-N8-N9</f>
        <v>3439607</v>
      </c>
    </row>
    <row r="15" spans="1:14" x14ac:dyDescent="0.25">
      <c r="E15" s="30"/>
    </row>
    <row r="18" spans="6:7" x14ac:dyDescent="0.25">
      <c r="F18" s="30"/>
    </row>
    <row r="26" spans="6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78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x14ac:dyDescent="0.25">
      <c r="A6" s="11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137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/>
      <c r="D5" s="12"/>
      <c r="E5" s="12"/>
      <c r="F5" s="12">
        <v>36600086</v>
      </c>
      <c r="G5" s="12">
        <v>53671350</v>
      </c>
      <c r="H5" s="12">
        <v>54258466</v>
      </c>
      <c r="I5" s="12">
        <v>51957560</v>
      </c>
      <c r="J5" s="12">
        <v>59655395</v>
      </c>
      <c r="K5" s="12">
        <v>48257305</v>
      </c>
      <c r="L5" s="12">
        <v>49271497</v>
      </c>
      <c r="M5" s="12">
        <v>40530223</v>
      </c>
      <c r="N5" s="13">
        <f>SUM(B5:M5)</f>
        <v>394201882</v>
      </c>
    </row>
    <row r="6" spans="1:14" ht="15.95" customHeight="1" x14ac:dyDescent="0.25">
      <c r="A6" s="11" t="s">
        <v>95</v>
      </c>
      <c r="B6" s="12"/>
      <c r="C6" s="12"/>
      <c r="D6" s="12"/>
      <c r="E6" s="12"/>
      <c r="F6" s="12"/>
      <c r="G6" s="12">
        <v>2509741</v>
      </c>
      <c r="H6" s="12">
        <v>9361302.0539999995</v>
      </c>
      <c r="I6" s="12">
        <v>8244608</v>
      </c>
      <c r="J6" s="12">
        <v>9101517</v>
      </c>
      <c r="K6" s="12">
        <v>7160352.3321000002</v>
      </c>
      <c r="L6" s="12">
        <v>6764742</v>
      </c>
      <c r="M6" s="14">
        <v>5771961</v>
      </c>
      <c r="N6" s="13">
        <f t="shared" ref="N6:N9" si="0">SUM(B6:M6)</f>
        <v>48914223.386099994</v>
      </c>
    </row>
    <row r="7" spans="1:14" x14ac:dyDescent="0.25">
      <c r="A7" s="11" t="s">
        <v>96</v>
      </c>
      <c r="B7" s="12"/>
      <c r="C7" s="12"/>
      <c r="D7" s="12"/>
      <c r="E7" s="12"/>
      <c r="F7" s="12">
        <v>1098003</v>
      </c>
      <c r="G7" s="12">
        <v>1590623</v>
      </c>
      <c r="H7" s="12">
        <v>1272536</v>
      </c>
      <c r="I7" s="12">
        <v>1311389</v>
      </c>
      <c r="J7" s="12">
        <v>1516616</v>
      </c>
      <c r="K7" s="12">
        <v>1232909</v>
      </c>
      <c r="L7" s="12">
        <v>2355203</v>
      </c>
      <c r="M7" s="14">
        <v>1042747.86</v>
      </c>
      <c r="N7" s="13">
        <f t="shared" si="0"/>
        <v>11420026.859999999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>
        <v>35502082</v>
      </c>
      <c r="I9" s="12">
        <v>49570986</v>
      </c>
      <c r="J9" s="12">
        <v>43624628</v>
      </c>
      <c r="K9" s="12"/>
      <c r="L9" s="12">
        <v>91438822</v>
      </c>
      <c r="M9" s="12">
        <v>38784042</v>
      </c>
      <c r="N9" s="13">
        <f t="shared" si="0"/>
        <v>258920560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0</v>
      </c>
      <c r="E10" s="16">
        <f t="shared" si="1"/>
        <v>0</v>
      </c>
      <c r="F10" s="16">
        <f>E10+F5-F6-F7-F8-F9</f>
        <v>35502083</v>
      </c>
      <c r="G10" s="16">
        <f t="shared" ref="G10:M10" si="2">F10+G5-G6-G7-G8-G9</f>
        <v>85073069</v>
      </c>
      <c r="H10" s="16">
        <f t="shared" si="2"/>
        <v>93195614.945999995</v>
      </c>
      <c r="I10" s="16">
        <f t="shared" si="2"/>
        <v>86026191.94599998</v>
      </c>
      <c r="J10" s="16">
        <f t="shared" si="2"/>
        <v>91438825.94599998</v>
      </c>
      <c r="K10" s="16">
        <f t="shared" si="2"/>
        <v>131302869.61389998</v>
      </c>
      <c r="L10" s="16">
        <f t="shared" si="2"/>
        <v>80015599.613899976</v>
      </c>
      <c r="M10" s="16">
        <f t="shared" si="2"/>
        <v>74947071.753899977</v>
      </c>
      <c r="N10" s="13">
        <f>N3+N5-N6-N7-N8-N9</f>
        <v>74947071.753899992</v>
      </c>
    </row>
    <row r="11" spans="1:14" x14ac:dyDescent="0.25">
      <c r="F11" s="30">
        <f>+F5-F6-F7</f>
        <v>35502083</v>
      </c>
      <c r="G11" s="30">
        <f t="shared" ref="G11:H11" si="3">+G5-G6-G7</f>
        <v>49570986</v>
      </c>
      <c r="H11" s="30">
        <f t="shared" si="3"/>
        <v>43624627.946000002</v>
      </c>
      <c r="I11" s="30">
        <f>+I5-I6-I7</f>
        <v>42401563</v>
      </c>
      <c r="J11" s="30">
        <f>+J5-J6-J7</f>
        <v>49037262</v>
      </c>
      <c r="K11" s="30">
        <f>+K5-K6-K7</f>
        <v>39864043.667899996</v>
      </c>
      <c r="L11" s="30">
        <f>+L5-L6-L7</f>
        <v>40151552</v>
      </c>
      <c r="M11" s="30">
        <f>+M5-M6-M7</f>
        <v>33715514.140000001</v>
      </c>
    </row>
    <row r="12" spans="1:14" x14ac:dyDescent="0.25">
      <c r="I12" s="30"/>
    </row>
    <row r="14" spans="1:14" x14ac:dyDescent="0.25">
      <c r="I14" s="30"/>
    </row>
    <row r="26" spans="7:7" x14ac:dyDescent="0.25">
      <c r="G26" s="18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A2" s="5" t="s">
        <v>111</v>
      </c>
      <c r="B2" s="101" t="s">
        <v>112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/>
      <c r="C5" s="12">
        <v>242979218</v>
      </c>
      <c r="D5" s="12">
        <v>157773951</v>
      </c>
      <c r="E5" s="12">
        <v>147345651</v>
      </c>
      <c r="F5" s="12">
        <v>331774811</v>
      </c>
      <c r="G5" s="12">
        <v>132227502</v>
      </c>
      <c r="H5" s="12">
        <v>109641549</v>
      </c>
      <c r="I5" s="12">
        <v>0</v>
      </c>
      <c r="J5" s="12"/>
      <c r="K5" s="12"/>
      <c r="L5" s="12">
        <v>134647474</v>
      </c>
      <c r="M5" s="12">
        <v>106451628</v>
      </c>
      <c r="N5" s="13">
        <f>SUM(B5:M5)</f>
        <v>1362841784</v>
      </c>
    </row>
    <row r="6" spans="1:14" x14ac:dyDescent="0.25">
      <c r="A6" s="11" t="s">
        <v>95</v>
      </c>
      <c r="B6" s="12"/>
      <c r="C6" s="12"/>
      <c r="D6" s="12">
        <v>1011445</v>
      </c>
      <c r="E6" s="12">
        <v>1413840</v>
      </c>
      <c r="F6" s="12">
        <v>62436180</v>
      </c>
      <c r="G6" s="12">
        <v>65490812</v>
      </c>
      <c r="H6" s="12">
        <v>3645417</v>
      </c>
      <c r="I6" s="12">
        <v>2650927</v>
      </c>
      <c r="J6" s="12">
        <v>7777037</v>
      </c>
      <c r="K6" s="12">
        <v>5678305</v>
      </c>
      <c r="L6" s="12">
        <v>2603671</v>
      </c>
      <c r="M6" s="14">
        <v>11582828</v>
      </c>
      <c r="N6" s="13">
        <f t="shared" ref="N6:N9" si="0">SUM(B6:M6)</f>
        <v>164290462</v>
      </c>
    </row>
    <row r="7" spans="1:14" x14ac:dyDescent="0.25">
      <c r="A7" s="11" t="s">
        <v>96</v>
      </c>
      <c r="B7" s="12"/>
      <c r="C7" s="12"/>
      <c r="D7" s="12"/>
      <c r="E7" s="12">
        <v>10786613</v>
      </c>
      <c r="F7" s="12">
        <f>22663253+3449222</f>
        <v>26112475</v>
      </c>
      <c r="G7" s="12">
        <v>290183</v>
      </c>
      <c r="H7" s="48">
        <f>4112326+1306691</f>
        <v>5419017</v>
      </c>
      <c r="I7" s="12"/>
      <c r="J7" s="12"/>
      <c r="K7" s="12"/>
      <c r="L7" s="12">
        <v>2932970</v>
      </c>
      <c r="M7" s="14">
        <v>5217189</v>
      </c>
      <c r="N7" s="13">
        <f t="shared" si="0"/>
        <v>50758447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>
        <v>511972109</v>
      </c>
      <c r="H9" s="12">
        <v>205593863</v>
      </c>
      <c r="I9" s="12">
        <v>127205424</v>
      </c>
      <c r="J9" s="12">
        <v>93426196</v>
      </c>
      <c r="K9" s="12">
        <v>3202247</v>
      </c>
      <c r="L9" s="12"/>
      <c r="M9" s="12"/>
      <c r="N9" s="13">
        <f t="shared" si="0"/>
        <v>941399839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242979218</v>
      </c>
      <c r="D10" s="16">
        <f t="shared" ref="D10:K10" si="1">C10+D5-D6-D7-D8-D9</f>
        <v>399741724</v>
      </c>
      <c r="E10" s="16">
        <f t="shared" si="1"/>
        <v>534886922</v>
      </c>
      <c r="F10" s="16">
        <f t="shared" si="1"/>
        <v>778113078</v>
      </c>
      <c r="G10" s="16">
        <f t="shared" si="1"/>
        <v>332587476</v>
      </c>
      <c r="H10" s="16">
        <f t="shared" si="1"/>
        <v>227570728</v>
      </c>
      <c r="I10" s="16">
        <f t="shared" si="1"/>
        <v>97714377</v>
      </c>
      <c r="J10" s="16">
        <f t="shared" si="1"/>
        <v>-3488856</v>
      </c>
      <c r="K10" s="16">
        <f t="shared" si="1"/>
        <v>-12369408</v>
      </c>
      <c r="L10" s="16">
        <f t="shared" ref="L10" si="2">K10+L5-L6-L7-L8-L9</f>
        <v>116741425</v>
      </c>
      <c r="M10" s="16">
        <f t="shared" ref="M10" si="3">L10+M5-M6-M7-M8-M9</f>
        <v>206393036</v>
      </c>
      <c r="N10" s="13">
        <f>N3+N5-N6-N7-N8-N9</f>
        <v>206393036</v>
      </c>
    </row>
    <row r="13" spans="1:14" x14ac:dyDescent="0.25">
      <c r="C13" s="30"/>
      <c r="D13" s="30"/>
      <c r="E13" s="30"/>
    </row>
    <row r="14" spans="1:14" x14ac:dyDescent="0.25">
      <c r="D14" s="30"/>
      <c r="E14" s="30"/>
      <c r="G14" s="30"/>
    </row>
    <row r="15" spans="1:14" x14ac:dyDescent="0.25">
      <c r="G15" s="30"/>
    </row>
    <row r="19" spans="7:12" x14ac:dyDescent="0.25">
      <c r="L19" s="30"/>
    </row>
    <row r="20" spans="7:12" x14ac:dyDescent="0.25">
      <c r="G20" s="18"/>
    </row>
    <row r="21" spans="7:12" x14ac:dyDescent="0.25">
      <c r="L21" s="30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1" sqref="L1:N1"/>
    </sheetView>
  </sheetViews>
  <sheetFormatPr defaultColWidth="9.140625" defaultRowHeight="15" x14ac:dyDescent="0.2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139</v>
      </c>
      <c r="C2" s="101"/>
      <c r="D2" s="101"/>
      <c r="E2" s="101"/>
      <c r="F2" s="101"/>
    </row>
    <row r="3" spans="1:14" ht="29.25" x14ac:dyDescent="0.25">
      <c r="B3" s="5" t="s">
        <v>102</v>
      </c>
      <c r="M3" s="6" t="s">
        <v>100</v>
      </c>
      <c r="N3" s="7"/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11" t="s">
        <v>94</v>
      </c>
      <c r="B5" s="12"/>
      <c r="C5" s="12"/>
      <c r="D5" s="12"/>
      <c r="E5" s="12"/>
      <c r="F5" s="12"/>
      <c r="G5" s="12">
        <v>13671504</v>
      </c>
      <c r="H5" s="12">
        <v>9258574</v>
      </c>
      <c r="I5" s="12">
        <v>7320584</v>
      </c>
      <c r="J5" s="12">
        <f>10577154-333</f>
        <v>10576821</v>
      </c>
      <c r="K5" s="12">
        <v>10528304</v>
      </c>
      <c r="L5" s="12">
        <v>13498744</v>
      </c>
      <c r="M5" s="90">
        <v>13952145</v>
      </c>
      <c r="N5" s="13">
        <f>SUM(B5:M5)</f>
        <v>78806676</v>
      </c>
    </row>
    <row r="6" spans="1:14" ht="15.75" x14ac:dyDescent="0.25">
      <c r="A6" s="11" t="s">
        <v>95</v>
      </c>
      <c r="B6" s="12"/>
      <c r="C6" s="12"/>
      <c r="D6" s="12"/>
      <c r="E6" s="12"/>
      <c r="F6" s="12"/>
      <c r="G6" s="12"/>
      <c r="H6" s="12">
        <v>147509</v>
      </c>
      <c r="I6" s="12">
        <v>396041</v>
      </c>
      <c r="J6" s="12">
        <v>1071633</v>
      </c>
      <c r="K6" s="12">
        <v>1050602</v>
      </c>
      <c r="L6" s="12">
        <v>1087401</v>
      </c>
      <c r="M6" s="54">
        <v>470871</v>
      </c>
      <c r="N6" s="13">
        <f t="shared" ref="N6:N9" si="0">SUM(B6:M6)</f>
        <v>4224057</v>
      </c>
    </row>
    <row r="7" spans="1:14" x14ac:dyDescent="0.25">
      <c r="A7" s="11" t="s">
        <v>96</v>
      </c>
      <c r="B7" s="12"/>
      <c r="C7" s="12"/>
      <c r="D7" s="12"/>
      <c r="E7" s="12"/>
      <c r="F7" s="12"/>
      <c r="G7" s="12"/>
      <c r="H7" s="12">
        <v>1200000</v>
      </c>
      <c r="I7" s="12"/>
      <c r="J7" s="12"/>
      <c r="K7" s="12"/>
      <c r="L7" s="12">
        <v>400000</v>
      </c>
      <c r="M7" s="14"/>
      <c r="N7" s="13">
        <f t="shared" si="0"/>
        <v>1600000</v>
      </c>
    </row>
    <row r="8" spans="1:14" x14ac:dyDescent="0.25">
      <c r="A8" s="11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11" t="s">
        <v>98</v>
      </c>
      <c r="B9" s="12"/>
      <c r="C9" s="12"/>
      <c r="D9" s="12"/>
      <c r="E9" s="12"/>
      <c r="F9" s="12"/>
      <c r="G9" s="12"/>
      <c r="H9" s="12"/>
      <c r="I9" s="12">
        <v>21582545</v>
      </c>
      <c r="J9" s="12">
        <v>6924234</v>
      </c>
      <c r="K9" s="12">
        <v>9505891</v>
      </c>
      <c r="L9" s="12">
        <v>9477703</v>
      </c>
      <c r="M9" s="12">
        <v>12011345</v>
      </c>
      <c r="N9" s="13">
        <f t="shared" si="0"/>
        <v>59501718</v>
      </c>
    </row>
    <row r="10" spans="1:14" s="17" customFormat="1" ht="14.25" x14ac:dyDescent="0.2">
      <c r="A10" s="15" t="s">
        <v>99</v>
      </c>
      <c r="B10" s="16">
        <f>N3+B5-B6-B7-B8-B9</f>
        <v>0</v>
      </c>
      <c r="C10" s="16">
        <f>B10+C5-C6-C7-C8-C9</f>
        <v>0</v>
      </c>
      <c r="D10" s="16">
        <f t="shared" ref="D10:F10" si="1">C10+D5-D6-D7-D8-D9</f>
        <v>0</v>
      </c>
      <c r="E10" s="16">
        <f t="shared" si="1"/>
        <v>0</v>
      </c>
      <c r="F10" s="16">
        <f t="shared" si="1"/>
        <v>0</v>
      </c>
      <c r="G10" s="16">
        <f t="shared" ref="G10" si="2">F10+G5-G6-G7-G8-G9</f>
        <v>13671504</v>
      </c>
      <c r="H10" s="16">
        <f t="shared" ref="H10:K10" si="3">G10+H5-H6-H7-H8-H9</f>
        <v>21582569</v>
      </c>
      <c r="I10" s="16">
        <f t="shared" si="3"/>
        <v>6924567</v>
      </c>
      <c r="J10" s="16">
        <f t="shared" si="3"/>
        <v>9505521</v>
      </c>
      <c r="K10" s="16">
        <f t="shared" si="3"/>
        <v>9477332</v>
      </c>
      <c r="L10" s="16">
        <f t="shared" ref="L10" si="4">K10+L5-L6-L7-L8-L9</f>
        <v>12010972</v>
      </c>
      <c r="M10" s="16">
        <f t="shared" ref="M10" si="5">L10+M5-M6-M7-M8-M9</f>
        <v>13480901</v>
      </c>
      <c r="N10" s="13">
        <f>N3+N5-N6-N7-N8-N9</f>
        <v>13480901</v>
      </c>
    </row>
    <row r="26" spans="7:7" x14ac:dyDescent="0.25">
      <c r="G26" s="18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20.5703125" customWidth="1"/>
    <col min="2" max="13" width="15.7109375" customWidth="1"/>
    <col min="14" max="14" width="13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173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ht="33" customHeight="1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5851855</v>
      </c>
      <c r="I5" s="12">
        <v>648472</v>
      </c>
      <c r="J5" s="12">
        <v>0</v>
      </c>
      <c r="K5" s="12">
        <v>0</v>
      </c>
      <c r="L5" s="12"/>
      <c r="M5" s="12"/>
      <c r="N5" s="13">
        <f>SUM(B5:M5)</f>
        <v>6500327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>
        <v>5851855</v>
      </c>
      <c r="J9" s="12">
        <v>648472</v>
      </c>
      <c r="K9" s="12"/>
      <c r="L9" s="12"/>
      <c r="M9" s="12"/>
      <c r="N9" s="13">
        <f t="shared" si="0"/>
        <v>6500327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F10" si="1">C10+D5-D6-D7-D8-D9</f>
        <v>0</v>
      </c>
      <c r="E10" s="16">
        <f t="shared" si="1"/>
        <v>0</v>
      </c>
      <c r="F10" s="16">
        <f t="shared" si="1"/>
        <v>0</v>
      </c>
      <c r="G10" s="16">
        <f t="shared" ref="G10" si="2">F10+G5-G6-G7-G8-G9</f>
        <v>0</v>
      </c>
      <c r="H10" s="16">
        <f t="shared" ref="H10" si="3">G10+H5-H6-H7-H8-H9</f>
        <v>5851855</v>
      </c>
      <c r="I10" s="16">
        <f t="shared" ref="I10:K10" si="4">H10+I5-I6-I7-I8-I9</f>
        <v>648472</v>
      </c>
      <c r="J10" s="16">
        <f t="shared" si="4"/>
        <v>0</v>
      </c>
      <c r="K10" s="16">
        <f t="shared" si="4"/>
        <v>0</v>
      </c>
      <c r="L10" s="16"/>
      <c r="M10" s="16"/>
      <c r="N10" s="13">
        <f>N3+N5-N6-N7-N8-N9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8.7109375" customWidth="1"/>
    <col min="2" max="14" width="14.285156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174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ht="28.5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4578257</v>
      </c>
      <c r="I5" s="12"/>
      <c r="J5" s="12"/>
      <c r="K5" s="12"/>
      <c r="L5" s="12"/>
      <c r="M5" s="12"/>
      <c r="N5" s="13">
        <f>SUM(B5:M5)</f>
        <v>4578257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>
        <v>1369645</v>
      </c>
      <c r="J6" s="12"/>
      <c r="K6" s="12"/>
      <c r="L6" s="12"/>
      <c r="M6" s="14"/>
      <c r="N6" s="13">
        <f t="shared" ref="N6:N9" si="0">SUM(B6:M6)</f>
        <v>1369645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K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4578257</v>
      </c>
      <c r="I10" s="16">
        <f t="shared" si="1"/>
        <v>3208612</v>
      </c>
      <c r="J10" s="16">
        <f t="shared" si="1"/>
        <v>3208612</v>
      </c>
      <c r="K10" s="16">
        <f t="shared" si="1"/>
        <v>3208612</v>
      </c>
      <c r="L10" s="16"/>
      <c r="M10" s="16"/>
      <c r="N10" s="13">
        <f>N3+N5-N6-N7-N8-N9</f>
        <v>3208612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" sqref="L1:N1"/>
    </sheetView>
  </sheetViews>
  <sheetFormatPr defaultRowHeight="15" x14ac:dyDescent="0.25"/>
  <cols>
    <col min="1" max="1" width="19.140625" customWidth="1"/>
    <col min="2" max="11" width="15" customWidth="1"/>
    <col min="12" max="15" width="15.8554687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176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63" t="s">
        <v>94</v>
      </c>
      <c r="B5" s="12"/>
      <c r="C5" s="12"/>
      <c r="D5" s="12"/>
      <c r="E5" s="12"/>
      <c r="F5" s="12"/>
      <c r="G5" s="12"/>
      <c r="H5" s="12">
        <v>6795688</v>
      </c>
      <c r="I5" s="12">
        <v>3540877</v>
      </c>
      <c r="J5" s="12">
        <v>4040422</v>
      </c>
      <c r="K5" s="12">
        <v>5265787</v>
      </c>
      <c r="L5" s="12">
        <v>6844954</v>
      </c>
      <c r="M5" s="12"/>
      <c r="N5" s="13">
        <f>SUM(B5:M5)</f>
        <v>26487728</v>
      </c>
    </row>
    <row r="6" spans="1:14" x14ac:dyDescent="0.25">
      <c r="A6" s="63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>
        <v>6167376</v>
      </c>
      <c r="I7" s="12">
        <v>87211</v>
      </c>
      <c r="J7" s="12">
        <v>99514.095000000001</v>
      </c>
      <c r="K7" s="12">
        <v>129694.38499999999</v>
      </c>
      <c r="L7" s="12">
        <v>161277.72500000001</v>
      </c>
      <c r="M7" s="14"/>
      <c r="N7" s="13">
        <f t="shared" si="0"/>
        <v>6645073.2049999991</v>
      </c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>
        <v>628312</v>
      </c>
      <c r="K9" s="12"/>
      <c r="L9" s="12"/>
      <c r="M9" s="12"/>
      <c r="N9" s="13">
        <f t="shared" si="0"/>
        <v>628312</v>
      </c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L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628312</v>
      </c>
      <c r="I10" s="16">
        <f>H10+I5-I6-I7-I8-I9</f>
        <v>4081978</v>
      </c>
      <c r="J10" s="16">
        <f t="shared" si="1"/>
        <v>7394573.9050000003</v>
      </c>
      <c r="K10" s="16">
        <f t="shared" si="1"/>
        <v>12530666.520000001</v>
      </c>
      <c r="L10" s="16">
        <f t="shared" si="1"/>
        <v>19214342.795000002</v>
      </c>
      <c r="M10" s="16"/>
      <c r="N10" s="13">
        <f>N3+N5-N6-N7-N8-N9</f>
        <v>19214342.795000002</v>
      </c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C1" workbookViewId="0">
      <selection activeCell="L1" sqref="L1:N1"/>
    </sheetView>
  </sheetViews>
  <sheetFormatPr defaultRowHeight="15" x14ac:dyDescent="0.25"/>
  <cols>
    <col min="1" max="1" width="18" customWidth="1"/>
    <col min="2" max="14" width="16.5703125" customWidth="1"/>
  </cols>
  <sheetData>
    <row r="1" spans="1:14" ht="15.75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109</v>
      </c>
      <c r="M1" s="100"/>
      <c r="N1" s="100"/>
    </row>
    <row r="2" spans="1:14" ht="18.75" x14ac:dyDescent="0.25">
      <c r="A2" s="1"/>
      <c r="B2" s="101" t="s">
        <v>182</v>
      </c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 ht="29.25" x14ac:dyDescent="0.25">
      <c r="A3" s="1"/>
      <c r="B3" s="5" t="s">
        <v>102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100</v>
      </c>
      <c r="N3" s="7">
        <v>0</v>
      </c>
    </row>
    <row r="4" spans="1:14" x14ac:dyDescent="0.25">
      <c r="A4" s="62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ht="15.75" x14ac:dyDescent="0.25">
      <c r="A5" s="63" t="s">
        <v>94</v>
      </c>
      <c r="B5" s="12"/>
      <c r="C5" s="12"/>
      <c r="D5" s="12"/>
      <c r="E5" s="78">
        <v>1731309</v>
      </c>
      <c r="F5" s="78">
        <v>3855820</v>
      </c>
      <c r="G5" s="78">
        <v>6934761</v>
      </c>
      <c r="H5" s="78">
        <v>5534549</v>
      </c>
      <c r="I5" s="78">
        <v>12067851</v>
      </c>
      <c r="J5" s="78">
        <v>2862928</v>
      </c>
      <c r="K5" s="67">
        <v>4369732</v>
      </c>
      <c r="L5" s="12">
        <v>4746434</v>
      </c>
      <c r="M5" s="12"/>
      <c r="N5" s="13"/>
    </row>
    <row r="6" spans="1:14" x14ac:dyDescent="0.25">
      <c r="A6" s="63" t="s">
        <v>95</v>
      </c>
      <c r="B6" s="12"/>
      <c r="C6" s="12"/>
      <c r="D6" s="12"/>
      <c r="E6" s="12"/>
      <c r="F6" s="12"/>
      <c r="G6" s="12">
        <v>116055.5</v>
      </c>
      <c r="H6" s="12"/>
      <c r="I6" s="12">
        <v>116055.5</v>
      </c>
      <c r="J6" s="12">
        <v>100272</v>
      </c>
      <c r="K6" s="12"/>
      <c r="L6" s="12">
        <v>1249112</v>
      </c>
      <c r="M6" s="14"/>
      <c r="N6" s="13"/>
    </row>
    <row r="7" spans="1:14" x14ac:dyDescent="0.25">
      <c r="A7" s="63" t="s">
        <v>96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/>
    </row>
    <row r="8" spans="1:14" x14ac:dyDescent="0.25">
      <c r="A8" s="63" t="s">
        <v>97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/>
    </row>
    <row r="9" spans="1:14" x14ac:dyDescent="0.25">
      <c r="A9" s="63" t="s">
        <v>98</v>
      </c>
      <c r="B9" s="12"/>
      <c r="C9" s="12"/>
      <c r="D9" s="12"/>
      <c r="E9" s="12"/>
      <c r="F9" s="12"/>
      <c r="G9" s="12"/>
      <c r="H9" s="12"/>
      <c r="I9" s="12"/>
      <c r="J9" s="12"/>
      <c r="K9" s="12">
        <v>32654835</v>
      </c>
      <c r="L9" s="12"/>
      <c r="M9" s="12"/>
      <c r="N9" s="13"/>
    </row>
    <row r="10" spans="1:14" x14ac:dyDescent="0.25">
      <c r="A10" s="64" t="s">
        <v>99</v>
      </c>
      <c r="B10" s="16">
        <f>N3+B5-B6-B7-B8-B9</f>
        <v>0</v>
      </c>
      <c r="C10" s="16">
        <f>B10+C5-C6-C7-C8-C9</f>
        <v>0</v>
      </c>
      <c r="D10" s="16">
        <f t="shared" ref="D10:L10" si="0">C10+D5-D6-D7-D8-D9</f>
        <v>0</v>
      </c>
      <c r="E10" s="16">
        <f t="shared" si="0"/>
        <v>1731309</v>
      </c>
      <c r="F10" s="16">
        <f t="shared" si="0"/>
        <v>5587129</v>
      </c>
      <c r="G10" s="16">
        <f t="shared" si="0"/>
        <v>12405834.5</v>
      </c>
      <c r="H10" s="16">
        <f t="shared" si="0"/>
        <v>17940383.5</v>
      </c>
      <c r="I10" s="16">
        <f t="shared" si="0"/>
        <v>29892179</v>
      </c>
      <c r="J10" s="16">
        <f t="shared" si="0"/>
        <v>32654835</v>
      </c>
      <c r="K10" s="16">
        <f t="shared" si="0"/>
        <v>4369732</v>
      </c>
      <c r="L10" s="16">
        <f t="shared" si="0"/>
        <v>7867054</v>
      </c>
      <c r="M10" s="16"/>
      <c r="N10" s="13"/>
    </row>
  </sheetData>
  <mergeCells count="2">
    <mergeCell ref="L1:N1"/>
    <mergeCell ref="B2:F2"/>
  </mergeCells>
  <hyperlinks>
    <hyperlink ref="L1:N1" location="'TỔNG HỢP'!A1" display="Quay lại trang tổng hợp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5" sqref="B5:I5"/>
    </sheetView>
  </sheetViews>
  <sheetFormatPr defaultColWidth="9.140625" defaultRowHeight="15" x14ac:dyDescent="0.25"/>
  <cols>
    <col min="1" max="1" width="16.140625" style="5" customWidth="1"/>
    <col min="2" max="13" width="15.28515625" style="5" customWidth="1"/>
    <col min="14" max="14" width="18.5703125" style="5" customWidth="1"/>
    <col min="15" max="16384" width="9.140625" style="1"/>
  </cols>
  <sheetData>
    <row r="1" spans="1:14" ht="15.75" x14ac:dyDescent="0.25">
      <c r="L1" s="100" t="s">
        <v>109</v>
      </c>
      <c r="M1" s="100"/>
      <c r="N1" s="100"/>
    </row>
    <row r="2" spans="1:14" ht="18.75" x14ac:dyDescent="0.25">
      <c r="B2" s="101" t="s">
        <v>19</v>
      </c>
      <c r="C2" s="101"/>
      <c r="D2" s="101"/>
      <c r="E2" s="101"/>
      <c r="F2" s="101"/>
    </row>
    <row r="3" spans="1:14" ht="30" customHeight="1" x14ac:dyDescent="0.25">
      <c r="B3" s="5" t="s">
        <v>102</v>
      </c>
      <c r="L3" s="5">
        <v>2516982</v>
      </c>
      <c r="M3" s="6" t="s">
        <v>100</v>
      </c>
      <c r="N3" s="7">
        <v>2111429010</v>
      </c>
    </row>
    <row r="4" spans="1:14" s="3" customFormat="1" x14ac:dyDescent="0.25">
      <c r="A4" s="8"/>
      <c r="B4" s="9" t="s">
        <v>81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10" t="s">
        <v>93</v>
      </c>
    </row>
    <row r="5" spans="1:14" x14ac:dyDescent="0.25">
      <c r="A5" s="11" t="s">
        <v>94</v>
      </c>
      <c r="B5" s="12">
        <v>2535538747</v>
      </c>
      <c r="C5" s="12">
        <v>1248667064</v>
      </c>
      <c r="D5" s="12">
        <v>1373484749</v>
      </c>
      <c r="E5" s="12">
        <v>1211792634</v>
      </c>
      <c r="F5" s="12">
        <v>1101825257</v>
      </c>
      <c r="G5" s="12">
        <v>1180433644</v>
      </c>
      <c r="H5" s="12">
        <v>1165169476</v>
      </c>
      <c r="I5" s="12">
        <v>1458296949</v>
      </c>
      <c r="J5" s="12">
        <v>1120245796</v>
      </c>
      <c r="K5" s="12">
        <v>1286056450</v>
      </c>
      <c r="L5" s="12">
        <v>1420610132</v>
      </c>
      <c r="M5" s="12"/>
      <c r="N5" s="13">
        <f>SUM(B5:M5)</f>
        <v>15102120898</v>
      </c>
    </row>
    <row r="6" spans="1:14" ht="15.75" x14ac:dyDescent="0.25">
      <c r="A6" s="11" t="s">
        <v>95</v>
      </c>
      <c r="B6" s="89">
        <v>25425053</v>
      </c>
      <c r="C6" s="89">
        <v>78760412</v>
      </c>
      <c r="D6" s="12">
        <v>101602606</v>
      </c>
      <c r="E6" s="12">
        <v>86777561</v>
      </c>
      <c r="F6" s="12">
        <v>81070609</v>
      </c>
      <c r="G6" s="12">
        <v>77811571</v>
      </c>
      <c r="H6" s="12">
        <v>53852200.299999997</v>
      </c>
      <c r="I6" s="12">
        <v>46897409</v>
      </c>
      <c r="J6" s="12">
        <v>39593874</v>
      </c>
      <c r="K6" s="12">
        <v>55747184</v>
      </c>
      <c r="L6" s="12">
        <v>43587977</v>
      </c>
      <c r="M6" s="14"/>
      <c r="N6" s="13">
        <f t="shared" ref="N6:N9" si="0">SUM(B6:M6)</f>
        <v>691126456.29999995</v>
      </c>
    </row>
    <row r="7" spans="1:14" ht="15.75" x14ac:dyDescent="0.25">
      <c r="A7" s="11" t="s">
        <v>96</v>
      </c>
      <c r="B7" s="12">
        <v>160867566</v>
      </c>
      <c r="C7" s="12">
        <v>223312333</v>
      </c>
      <c r="D7" s="12">
        <v>107662816</v>
      </c>
      <c r="E7" s="12">
        <v>166372085</v>
      </c>
      <c r="F7" s="12">
        <v>105843322</v>
      </c>
      <c r="G7" s="12">
        <v>165031437</v>
      </c>
      <c r="H7" s="12">
        <v>134187460</v>
      </c>
      <c r="I7" s="12">
        <v>175810606</v>
      </c>
      <c r="J7" s="12">
        <v>151541018</v>
      </c>
      <c r="K7" s="12">
        <v>115839707</v>
      </c>
      <c r="L7" s="89">
        <v>134122151</v>
      </c>
      <c r="M7" s="14"/>
      <c r="N7" s="13">
        <f t="shared" si="0"/>
        <v>1640590501</v>
      </c>
    </row>
    <row r="8" spans="1:14" ht="15.75" x14ac:dyDescent="0.25">
      <c r="A8" s="11" t="s">
        <v>97</v>
      </c>
      <c r="B8" s="12">
        <v>46599285</v>
      </c>
      <c r="C8" s="12">
        <v>71078372</v>
      </c>
      <c r="D8" s="12">
        <v>27970393</v>
      </c>
      <c r="E8" s="12">
        <v>33916538</v>
      </c>
      <c r="F8" s="12"/>
      <c r="G8" s="12">
        <v>53691541</v>
      </c>
      <c r="H8" s="12">
        <v>28606134</v>
      </c>
      <c r="I8" s="12">
        <v>28916906</v>
      </c>
      <c r="J8" s="12"/>
      <c r="K8" s="12">
        <f>52611710+15079405</f>
        <v>67691115</v>
      </c>
      <c r="L8" s="89">
        <v>53186149</v>
      </c>
      <c r="M8" s="81"/>
      <c r="N8" s="13">
        <f t="shared" si="0"/>
        <v>411656433</v>
      </c>
    </row>
    <row r="9" spans="1:14" x14ac:dyDescent="0.25">
      <c r="A9" s="11" t="s">
        <v>98</v>
      </c>
      <c r="B9" s="12">
        <f>1324605202+6395476</f>
        <v>1331000678</v>
      </c>
      <c r="C9" s="12">
        <v>1832287478</v>
      </c>
      <c r="D9" s="12">
        <v>889726889</v>
      </c>
      <c r="E9" s="12">
        <v>1468828740</v>
      </c>
      <c r="F9" s="12">
        <v>902188368</v>
      </c>
      <c r="G9" s="12">
        <v>1353004915</v>
      </c>
      <c r="H9" s="12">
        <v>1115350634</v>
      </c>
      <c r="I9" s="12">
        <v>932118388</v>
      </c>
      <c r="J9" s="12">
        <v>1263338619</v>
      </c>
      <c r="K9" s="12">
        <v>899351994</v>
      </c>
      <c r="L9" s="12">
        <v>1069584019</v>
      </c>
      <c r="M9" s="12"/>
      <c r="N9" s="13">
        <f t="shared" si="0"/>
        <v>13056780722</v>
      </c>
    </row>
    <row r="10" spans="1:14" s="17" customFormat="1" ht="14.25" x14ac:dyDescent="0.2">
      <c r="A10" s="15" t="s">
        <v>99</v>
      </c>
      <c r="B10" s="16">
        <f>N3+B5-B6-B7-B8-B9</f>
        <v>3083075175</v>
      </c>
      <c r="C10" s="16">
        <f>B10+C5-C6-C7-C8-C9</f>
        <v>2126303644</v>
      </c>
      <c r="D10" s="16">
        <f t="shared" ref="D10" si="1">C10+D5-D6-D7-D8-D9</f>
        <v>2372825689</v>
      </c>
      <c r="E10" s="16">
        <f t="shared" ref="E10:J10" si="2">D10+E5-E6-E7-E8-E9</f>
        <v>1828723399</v>
      </c>
      <c r="F10" s="16">
        <f t="shared" si="2"/>
        <v>1841446357</v>
      </c>
      <c r="G10" s="16">
        <f t="shared" si="2"/>
        <v>1372340537</v>
      </c>
      <c r="H10" s="16">
        <f t="shared" si="2"/>
        <v>1205513584.6999998</v>
      </c>
      <c r="I10" s="16">
        <f t="shared" si="2"/>
        <v>1480067224.6999998</v>
      </c>
      <c r="J10" s="16">
        <f t="shared" si="2"/>
        <v>1145839509.6999998</v>
      </c>
      <c r="K10" s="16">
        <f>J10+K5-K6-K7-K8-K9</f>
        <v>1293265959.6999998</v>
      </c>
      <c r="L10" s="16">
        <f>K10+L5-L6-L7-L8-L9-L3</f>
        <v>1410878813.6999998</v>
      </c>
      <c r="M10" s="16"/>
      <c r="N10" s="13">
        <f>N3+N5-N6-N7-N8-N9</f>
        <v>1413395795.7000008</v>
      </c>
    </row>
    <row r="13" spans="1:14" x14ac:dyDescent="0.25">
      <c r="B13" s="30"/>
      <c r="C13" s="30"/>
      <c r="D13" s="30"/>
      <c r="E13" s="30"/>
      <c r="F13" s="30"/>
      <c r="G13" s="30"/>
      <c r="H13" s="30"/>
      <c r="I13" s="30"/>
    </row>
    <row r="15" spans="1:14" x14ac:dyDescent="0.25">
      <c r="H15" s="65"/>
      <c r="I15" s="65"/>
    </row>
    <row r="16" spans="1:14" x14ac:dyDescent="0.25">
      <c r="I16" s="30"/>
    </row>
    <row r="17" spans="4:9" x14ac:dyDescent="0.25">
      <c r="E17" s="30"/>
      <c r="F17" s="30"/>
      <c r="I17" s="30"/>
    </row>
    <row r="19" spans="4:9" x14ac:dyDescent="0.25">
      <c r="I19" s="30"/>
    </row>
    <row r="20" spans="4:9" x14ac:dyDescent="0.25">
      <c r="H20" s="30"/>
    </row>
    <row r="24" spans="4:9" x14ac:dyDescent="0.25">
      <c r="D24" s="30"/>
      <c r="E24" s="30"/>
    </row>
    <row r="26" spans="4:9" x14ac:dyDescent="0.25">
      <c r="G26" s="18"/>
    </row>
  </sheetData>
  <mergeCells count="2">
    <mergeCell ref="B2:F2"/>
    <mergeCell ref="L1:N1"/>
  </mergeCells>
  <hyperlinks>
    <hyperlink ref="L1:N1" location="'TỔNG HỢP'!A1" display="Quay lại trang tổng hợp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85</vt:i4>
      </vt:variant>
    </vt:vector>
  </HeadingPairs>
  <TitlesOfParts>
    <vt:vector size="85" baseType="lpstr">
      <vt:lpstr>TỔNG HỢP</vt:lpstr>
      <vt:lpstr>STTHANHCONG</vt:lpstr>
      <vt:lpstr>DALATFARM</vt:lpstr>
      <vt:lpstr>TERRA</vt:lpstr>
      <vt:lpstr>AEON</vt:lpstr>
      <vt:lpstr>WIN</vt:lpstr>
      <vt:lpstr>BRG</vt:lpstr>
      <vt:lpstr>CIRCLEK</vt:lpstr>
      <vt:lpstr>COOP</vt:lpstr>
      <vt:lpstr>BIGC</vt:lpstr>
      <vt:lpstr>GS25</vt:lpstr>
      <vt:lpstr>LOTTE</vt:lpstr>
      <vt:lpstr>MEGA</vt:lpstr>
      <vt:lpstr>SATRA-004</vt:lpstr>
      <vt:lpstr>SATRA-025</vt:lpstr>
      <vt:lpstr>SATRA-020</vt:lpstr>
      <vt:lpstr>SATRA-027</vt:lpstr>
      <vt:lpstr>DTH</vt:lpstr>
      <vt:lpstr>TMART</vt:lpstr>
      <vt:lpstr>SIBA</vt:lpstr>
      <vt:lpstr>NHATMINH</vt:lpstr>
      <vt:lpstr>VIỆT Ý</vt:lpstr>
      <vt:lpstr>NOVA</vt:lpstr>
      <vt:lpstr>VIỆT Ý NT</vt:lpstr>
      <vt:lpstr>LARIA</vt:lpstr>
      <vt:lpstr>SEVEN</vt:lpstr>
      <vt:lpstr>USMART</vt:lpstr>
      <vt:lpstr>SAIGONHD</vt:lpstr>
      <vt:lpstr>SÀNH ĐIỆU</vt:lpstr>
      <vt:lpstr>CLEVERFOOD</vt:lpstr>
      <vt:lpstr>UNO</vt:lpstr>
      <vt:lpstr>UBO</vt:lpstr>
      <vt:lpstr>UNIT</vt:lpstr>
      <vt:lpstr>RETAIL</vt:lpstr>
      <vt:lpstr>SGMART</vt:lpstr>
      <vt:lpstr>SHINSHEN</vt:lpstr>
      <vt:lpstr>SUNSHINE</vt:lpstr>
      <vt:lpstr>V+ HÒA BÌNH</vt:lpstr>
      <vt:lpstr>NHẬT THƯƠNG</vt:lpstr>
      <vt:lpstr>CGP</vt:lpstr>
      <vt:lpstr>EASYMART</vt:lpstr>
      <vt:lpstr>BÍCH CẦU</vt:lpstr>
      <vt:lpstr>BONBON</vt:lpstr>
      <vt:lpstr>ECO</vt:lpstr>
      <vt:lpstr>EPCOSTORE</vt:lpstr>
      <vt:lpstr>EVERYDAY</vt:lpstr>
      <vt:lpstr>FANSIPAN</vt:lpstr>
      <vt:lpstr>FINEMART</vt:lpstr>
      <vt:lpstr>FOODMART</vt:lpstr>
      <vt:lpstr>GDVN</vt:lpstr>
      <vt:lpstr>GRELI</vt:lpstr>
      <vt:lpstr>GTGL</vt:lpstr>
      <vt:lpstr>HÀ ĐĂNG</vt:lpstr>
      <vt:lpstr>HAPPYMART</vt:lpstr>
      <vt:lpstr>HIỀN LƯƠNG</vt:lpstr>
      <vt:lpstr>TOMO</vt:lpstr>
      <vt:lpstr>HƯNG THỊNH</vt:lpstr>
      <vt:lpstr>INTIMEX ĐN</vt:lpstr>
      <vt:lpstr>JMART QT</vt:lpstr>
      <vt:lpstr>KA</vt:lpstr>
      <vt:lpstr>KINGFOOD</vt:lpstr>
      <vt:lpstr>K&amp;K</vt:lpstr>
      <vt:lpstr>EAST</vt:lpstr>
      <vt:lpstr>HNT</vt:lpstr>
      <vt:lpstr>LOCAL</vt:lpstr>
      <vt:lpstr>MDBD</vt:lpstr>
      <vt:lpstr>MEKONG</vt:lpstr>
      <vt:lpstr>MINH CẦU</vt:lpstr>
      <vt:lpstr>NGUYỄN CỬU</vt:lpstr>
      <vt:lpstr>OCOPFOOD</vt:lpstr>
      <vt:lpstr>PTMART</vt:lpstr>
      <vt:lpstr>SMARTGAP</vt:lpstr>
      <vt:lpstr>SONG NGỌC</vt:lpstr>
      <vt:lpstr>SONG NGUYỄN</vt:lpstr>
      <vt:lpstr>ANH ĐĂNG TMART</vt:lpstr>
      <vt:lpstr>TTMFARM</vt:lpstr>
      <vt:lpstr>THFOOD</vt:lpstr>
      <vt:lpstr>XDSG</vt:lpstr>
      <vt:lpstr>OKONO</vt:lpstr>
      <vt:lpstr>VITALGO</vt:lpstr>
      <vt:lpstr>TELIO</vt:lpstr>
      <vt:lpstr>GOOGOO</vt:lpstr>
      <vt:lpstr>KMARKET</vt:lpstr>
      <vt:lpstr>TOMITA</vt:lpstr>
      <vt:lpstr>HOMEMART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2025-10-24T07:34:48Z</dcterms:modified>
</cp:coreProperties>
</file>