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OneDrive\Desktop\A Thuong\bảng luong 2024\"/>
    </mc:Choice>
  </mc:AlternateContent>
  <xr:revisionPtr revIDLastSave="0" documentId="13_ncr:1_{76FF552F-8C32-4497-9B02-FC25ADBADBF3}" xr6:coauthVersionLast="47" xr6:coauthVersionMax="47" xr10:uidLastSave="{00000000-0000-0000-0000-000000000000}"/>
  <bookViews>
    <workbookView xWindow="-120" yWindow="-120" windowWidth="29040" windowHeight="15840" tabRatio="813" activeTab="8" xr2:uid="{00000000-000D-0000-FFFF-FFFF00000000}"/>
  </bookViews>
  <sheets>
    <sheet name="Chi tiết tăng ca" sheetId="2" r:id="rId1"/>
    <sheet name="Ngày công" sheetId="1" r:id="rId2"/>
    <sheet name="Bảng tính lương " sheetId="3" r:id="rId3"/>
    <sheet name="LƯƠNG TỔNG" sheetId="9" r:id="rId4"/>
    <sheet name="Bảng tính lương moi( THUE LD2)" sheetId="12" r:id="rId5"/>
    <sheet name="Thuê LD 1" sheetId="10" r:id="rId6"/>
    <sheet name="LƯƠNG TỔNG MOI" sheetId="11" r:id="rId7"/>
    <sheet name="TNCN" sheetId="14" r:id="rId8"/>
    <sheet name="Thuế TNCN 2.24" sheetId="13" r:id="rId9"/>
    <sheet name="Phiếu lương" sheetId="8" state="hidden" r:id="rId10"/>
  </sheets>
  <externalReferences>
    <externalReference r:id="rId11"/>
  </externalReferences>
  <definedNames>
    <definedName name="_xlnm._FilterDatabase" localSheetId="2" hidden="1">'Bảng tính lương '!$A$4:$AM$63</definedName>
    <definedName name="_xlnm._FilterDatabase" localSheetId="4" hidden="1">'Bảng tính lương moi( THUE LD2)'!$A$5:$AX$59</definedName>
    <definedName name="_xlnm._FilterDatabase" localSheetId="0" hidden="1">'Chi tiết tăng ca'!$A$4:$A$40</definedName>
    <definedName name="_xlnm._FilterDatabase" localSheetId="7" hidden="1">TNCN!$A$5:$P$70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3" l="1"/>
  <c r="N70" i="14" l="1"/>
  <c r="M70" i="14"/>
  <c r="L70" i="14"/>
  <c r="K70" i="14"/>
  <c r="J70" i="14"/>
  <c r="I70" i="14"/>
  <c r="H70" i="14"/>
  <c r="G70" i="14"/>
  <c r="F70" i="14"/>
  <c r="E70" i="14"/>
  <c r="N16" i="14"/>
  <c r="M16" i="14"/>
  <c r="L16" i="14"/>
  <c r="K16" i="14"/>
  <c r="J16" i="14"/>
  <c r="I16" i="14"/>
  <c r="H16" i="14"/>
  <c r="G16" i="14"/>
  <c r="F16" i="14"/>
  <c r="E16" i="14"/>
  <c r="M6" i="14"/>
  <c r="N6" i="14"/>
  <c r="L6" i="14"/>
  <c r="K6" i="14"/>
  <c r="J6" i="14"/>
  <c r="I6" i="14"/>
  <c r="H6" i="14"/>
  <c r="G6" i="14"/>
  <c r="F6" i="14"/>
  <c r="E6" i="14"/>
  <c r="N7" i="14"/>
  <c r="N15" i="14"/>
  <c r="N14" i="14"/>
  <c r="N13" i="14"/>
  <c r="N12" i="14"/>
  <c r="N11" i="14"/>
  <c r="N10" i="14"/>
  <c r="N9" i="14"/>
  <c r="N8" i="14"/>
  <c r="M15" i="14"/>
  <c r="M14" i="14"/>
  <c r="M13" i="14"/>
  <c r="M12" i="14"/>
  <c r="M11" i="14"/>
  <c r="M10" i="14"/>
  <c r="M9" i="14"/>
  <c r="M8" i="14"/>
  <c r="M7" i="14"/>
  <c r="L15" i="14"/>
  <c r="L14" i="14"/>
  <c r="L13" i="14"/>
  <c r="L12" i="14"/>
  <c r="L11" i="14"/>
  <c r="L10" i="14"/>
  <c r="L9" i="14"/>
  <c r="L8" i="14"/>
  <c r="L7" i="14"/>
  <c r="K15" i="14"/>
  <c r="K14" i="14"/>
  <c r="K13" i="14"/>
  <c r="K12" i="14"/>
  <c r="K11" i="14"/>
  <c r="K10" i="14"/>
  <c r="K9" i="14"/>
  <c r="K8" i="14"/>
  <c r="K7" i="14"/>
  <c r="I15" i="14"/>
  <c r="I14" i="14"/>
  <c r="I13" i="14"/>
  <c r="I12" i="14"/>
  <c r="I11" i="14"/>
  <c r="I10" i="14"/>
  <c r="I9" i="14"/>
  <c r="I8" i="14"/>
  <c r="I7" i="14"/>
  <c r="G15" i="14"/>
  <c r="G14" i="14"/>
  <c r="G13" i="14"/>
  <c r="G12" i="14"/>
  <c r="G11" i="14"/>
  <c r="G10" i="14"/>
  <c r="G9" i="14"/>
  <c r="G8" i="14"/>
  <c r="G7" i="14"/>
  <c r="O13" i="11"/>
  <c r="U17" i="11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G52" i="14"/>
  <c r="M52" i="14" s="1"/>
  <c r="F18" i="14"/>
  <c r="G18" i="14" s="1"/>
  <c r="F19" i="14"/>
  <c r="G19" i="14" s="1"/>
  <c r="F20" i="14"/>
  <c r="G20" i="14" s="1"/>
  <c r="F21" i="14"/>
  <c r="G21" i="14" s="1"/>
  <c r="F22" i="14"/>
  <c r="G22" i="14" s="1"/>
  <c r="F23" i="14"/>
  <c r="G23" i="14" s="1"/>
  <c r="F24" i="14"/>
  <c r="G24" i="14" s="1"/>
  <c r="M24" i="14" s="1"/>
  <c r="F25" i="14"/>
  <c r="G25" i="14" s="1"/>
  <c r="F26" i="14"/>
  <c r="G26" i="14" s="1"/>
  <c r="F27" i="14"/>
  <c r="G27" i="14" s="1"/>
  <c r="F28" i="14"/>
  <c r="G28" i="14" s="1"/>
  <c r="F29" i="14"/>
  <c r="G29" i="14" s="1"/>
  <c r="F30" i="14"/>
  <c r="G30" i="14" s="1"/>
  <c r="F31" i="14"/>
  <c r="G31" i="14" s="1"/>
  <c r="F32" i="14"/>
  <c r="G32" i="14" s="1"/>
  <c r="F33" i="14"/>
  <c r="G33" i="14" s="1"/>
  <c r="F34" i="14"/>
  <c r="G34" i="14" s="1"/>
  <c r="F35" i="14"/>
  <c r="G35" i="14" s="1"/>
  <c r="F36" i="14"/>
  <c r="G36" i="14" s="1"/>
  <c r="M36" i="14" s="1"/>
  <c r="F37" i="14"/>
  <c r="G37" i="14" s="1"/>
  <c r="F38" i="14"/>
  <c r="G38" i="14" s="1"/>
  <c r="F39" i="14"/>
  <c r="G39" i="14" s="1"/>
  <c r="F40" i="14"/>
  <c r="G40" i="14" s="1"/>
  <c r="F41" i="14"/>
  <c r="G41" i="14" s="1"/>
  <c r="F42" i="14"/>
  <c r="G42" i="14" s="1"/>
  <c r="F43" i="14"/>
  <c r="G43" i="14" s="1"/>
  <c r="F44" i="14"/>
  <c r="G44" i="14" s="1"/>
  <c r="F45" i="14"/>
  <c r="G45" i="14" s="1"/>
  <c r="F46" i="14"/>
  <c r="G46" i="14" s="1"/>
  <c r="F47" i="14"/>
  <c r="G47" i="14" s="1"/>
  <c r="F48" i="14"/>
  <c r="G48" i="14" s="1"/>
  <c r="M48" i="14" s="1"/>
  <c r="F49" i="14"/>
  <c r="G49" i="14" s="1"/>
  <c r="F50" i="14"/>
  <c r="G50" i="14" s="1"/>
  <c r="F51" i="14"/>
  <c r="G51" i="14" s="1"/>
  <c r="F52" i="14"/>
  <c r="F53" i="14"/>
  <c r="G53" i="14" s="1"/>
  <c r="F54" i="14"/>
  <c r="G54" i="14" s="1"/>
  <c r="F55" i="14"/>
  <c r="G55" i="14" s="1"/>
  <c r="F56" i="14"/>
  <c r="G56" i="14" s="1"/>
  <c r="F57" i="14"/>
  <c r="G57" i="14" s="1"/>
  <c r="F58" i="14"/>
  <c r="G58" i="14" s="1"/>
  <c r="F59" i="14"/>
  <c r="G59" i="14" s="1"/>
  <c r="F60" i="14"/>
  <c r="G60" i="14" s="1"/>
  <c r="M60" i="14" s="1"/>
  <c r="F61" i="14"/>
  <c r="G61" i="14" s="1"/>
  <c r="F62" i="14"/>
  <c r="G62" i="14" s="1"/>
  <c r="F63" i="14"/>
  <c r="G63" i="14" s="1"/>
  <c r="F64" i="14"/>
  <c r="G64" i="14" s="1"/>
  <c r="M64" i="14" s="1"/>
  <c r="F65" i="14"/>
  <c r="G65" i="14" s="1"/>
  <c r="F66" i="14"/>
  <c r="G66" i="14" s="1"/>
  <c r="F67" i="14"/>
  <c r="G67" i="14" s="1"/>
  <c r="F68" i="14"/>
  <c r="G68" i="14" s="1"/>
  <c r="F69" i="14"/>
  <c r="G69" i="14" s="1"/>
  <c r="M69" i="14" s="1"/>
  <c r="F17" i="14"/>
  <c r="K69" i="14"/>
  <c r="L69" i="14" s="1"/>
  <c r="K68" i="14"/>
  <c r="L68" i="14" s="1"/>
  <c r="K67" i="14"/>
  <c r="L67" i="14" s="1"/>
  <c r="K66" i="14"/>
  <c r="L66" i="14" s="1"/>
  <c r="K65" i="14"/>
  <c r="L65" i="14" s="1"/>
  <c r="K64" i="14"/>
  <c r="L64" i="14" s="1"/>
  <c r="K63" i="14"/>
  <c r="L63" i="14" s="1"/>
  <c r="K62" i="14"/>
  <c r="L62" i="14" s="1"/>
  <c r="K61" i="14"/>
  <c r="L61" i="14" s="1"/>
  <c r="K60" i="14"/>
  <c r="L60" i="14" s="1"/>
  <c r="K59" i="14"/>
  <c r="L59" i="14" s="1"/>
  <c r="K58" i="14"/>
  <c r="L58" i="14" s="1"/>
  <c r="K57" i="14"/>
  <c r="L57" i="14" s="1"/>
  <c r="K56" i="14"/>
  <c r="L56" i="14" s="1"/>
  <c r="K55" i="14"/>
  <c r="L55" i="14" s="1"/>
  <c r="K54" i="14"/>
  <c r="L54" i="14" s="1"/>
  <c r="K53" i="14"/>
  <c r="L53" i="14" s="1"/>
  <c r="K52" i="14"/>
  <c r="L52" i="14" s="1"/>
  <c r="K51" i="14"/>
  <c r="L51" i="14" s="1"/>
  <c r="K50" i="14"/>
  <c r="L50" i="14" s="1"/>
  <c r="K49" i="14"/>
  <c r="L49" i="14" s="1"/>
  <c r="K48" i="14"/>
  <c r="L48" i="14" s="1"/>
  <c r="K47" i="14"/>
  <c r="L47" i="14" s="1"/>
  <c r="K46" i="14"/>
  <c r="L46" i="14" s="1"/>
  <c r="K45" i="14"/>
  <c r="L45" i="14" s="1"/>
  <c r="K44" i="14"/>
  <c r="L44" i="14" s="1"/>
  <c r="K43" i="14"/>
  <c r="L43" i="14" s="1"/>
  <c r="K42" i="14"/>
  <c r="L42" i="14" s="1"/>
  <c r="K41" i="14"/>
  <c r="L41" i="14" s="1"/>
  <c r="K40" i="14"/>
  <c r="L40" i="14" s="1"/>
  <c r="K39" i="14"/>
  <c r="L39" i="14" s="1"/>
  <c r="K38" i="14"/>
  <c r="L38" i="14" s="1"/>
  <c r="K37" i="14"/>
  <c r="L37" i="14" s="1"/>
  <c r="K36" i="14"/>
  <c r="L36" i="14" s="1"/>
  <c r="K35" i="14"/>
  <c r="L35" i="14" s="1"/>
  <c r="K34" i="14"/>
  <c r="L34" i="14" s="1"/>
  <c r="K33" i="14"/>
  <c r="L33" i="14" s="1"/>
  <c r="K32" i="14"/>
  <c r="L32" i="14" s="1"/>
  <c r="K31" i="14"/>
  <c r="L31" i="14" s="1"/>
  <c r="K30" i="14"/>
  <c r="L30" i="14" s="1"/>
  <c r="K29" i="14"/>
  <c r="L29" i="14" s="1"/>
  <c r="K28" i="14"/>
  <c r="L28" i="14" s="1"/>
  <c r="K27" i="14"/>
  <c r="L27" i="14" s="1"/>
  <c r="K26" i="14"/>
  <c r="L26" i="14" s="1"/>
  <c r="K25" i="14"/>
  <c r="L25" i="14" s="1"/>
  <c r="K24" i="14"/>
  <c r="L24" i="14" s="1"/>
  <c r="K23" i="14"/>
  <c r="L23" i="14" s="1"/>
  <c r="K22" i="14"/>
  <c r="L22" i="14" s="1"/>
  <c r="K21" i="14"/>
  <c r="L21" i="14" s="1"/>
  <c r="K20" i="14"/>
  <c r="L20" i="14" s="1"/>
  <c r="K19" i="14"/>
  <c r="L19" i="14" s="1"/>
  <c r="K18" i="14"/>
  <c r="L18" i="14" s="1"/>
  <c r="K17" i="14"/>
  <c r="L17" i="14" s="1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U19" i="12"/>
  <c r="AU20" i="12"/>
  <c r="AU21" i="12"/>
  <c r="AU22" i="12"/>
  <c r="AU23" i="12"/>
  <c r="AU24" i="12"/>
  <c r="AU25" i="12"/>
  <c r="AU26" i="12"/>
  <c r="AU27" i="12"/>
  <c r="AU28" i="12"/>
  <c r="AU29" i="12"/>
  <c r="AU30" i="12"/>
  <c r="AU31" i="12"/>
  <c r="AU32" i="12"/>
  <c r="AU33" i="12"/>
  <c r="AU34" i="12"/>
  <c r="AU35" i="12"/>
  <c r="AU36" i="12"/>
  <c r="AU37" i="12"/>
  <c r="AU38" i="12"/>
  <c r="AU39" i="12"/>
  <c r="AU40" i="12"/>
  <c r="AU41" i="12"/>
  <c r="AU42" i="12"/>
  <c r="AU43" i="12"/>
  <c r="AU44" i="12"/>
  <c r="AU45" i="12"/>
  <c r="AU46" i="12"/>
  <c r="AU47" i="12"/>
  <c r="AU48" i="12"/>
  <c r="AU49" i="12"/>
  <c r="AU50" i="12"/>
  <c r="AU51" i="12"/>
  <c r="AU52" i="12"/>
  <c r="AU53" i="12"/>
  <c r="AU54" i="12"/>
  <c r="AU55" i="12"/>
  <c r="AU56" i="12"/>
  <c r="AU57" i="12"/>
  <c r="AU6" i="12"/>
  <c r="AP7" i="12"/>
  <c r="AP8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6" i="12"/>
  <c r="AN8" i="12"/>
  <c r="AN10" i="12"/>
  <c r="AN11" i="12"/>
  <c r="AN20" i="12"/>
  <c r="AN22" i="12"/>
  <c r="AN23" i="12"/>
  <c r="AN32" i="12"/>
  <c r="AN34" i="12"/>
  <c r="AN35" i="12"/>
  <c r="AN44" i="12"/>
  <c r="AN46" i="12"/>
  <c r="AN47" i="12"/>
  <c r="AN56" i="12"/>
  <c r="AN58" i="12"/>
  <c r="AM7" i="12"/>
  <c r="AN7" i="12" s="1"/>
  <c r="AM8" i="12"/>
  <c r="AM9" i="12"/>
  <c r="AN9" i="12" s="1"/>
  <c r="AM10" i="12"/>
  <c r="AM11" i="12"/>
  <c r="AM12" i="12"/>
  <c r="AN12" i="12" s="1"/>
  <c r="AM13" i="12"/>
  <c r="AN13" i="12" s="1"/>
  <c r="AM14" i="12"/>
  <c r="AN14" i="12" s="1"/>
  <c r="AM15" i="12"/>
  <c r="AN15" i="12" s="1"/>
  <c r="AM16" i="12"/>
  <c r="AN16" i="12" s="1"/>
  <c r="AM17" i="12"/>
  <c r="AN17" i="12" s="1"/>
  <c r="AM18" i="12"/>
  <c r="AN18" i="12" s="1"/>
  <c r="AM19" i="12"/>
  <c r="AN19" i="12" s="1"/>
  <c r="AM20" i="12"/>
  <c r="AM21" i="12"/>
  <c r="AN21" i="12" s="1"/>
  <c r="AM22" i="12"/>
  <c r="AM23" i="12"/>
  <c r="AM24" i="12"/>
  <c r="AN24" i="12" s="1"/>
  <c r="AM25" i="12"/>
  <c r="AN25" i="12" s="1"/>
  <c r="AM26" i="12"/>
  <c r="AN26" i="12" s="1"/>
  <c r="AM27" i="12"/>
  <c r="AN27" i="12" s="1"/>
  <c r="AM28" i="12"/>
  <c r="AN28" i="12" s="1"/>
  <c r="AM29" i="12"/>
  <c r="AN29" i="12" s="1"/>
  <c r="AM30" i="12"/>
  <c r="AN30" i="12" s="1"/>
  <c r="AM31" i="12"/>
  <c r="AN31" i="12" s="1"/>
  <c r="AM32" i="12"/>
  <c r="AM33" i="12"/>
  <c r="AN33" i="12" s="1"/>
  <c r="AM34" i="12"/>
  <c r="AM35" i="12"/>
  <c r="AM36" i="12"/>
  <c r="AN36" i="12" s="1"/>
  <c r="AM37" i="12"/>
  <c r="AN37" i="12" s="1"/>
  <c r="AM38" i="12"/>
  <c r="AN38" i="12" s="1"/>
  <c r="AM39" i="12"/>
  <c r="AN39" i="12" s="1"/>
  <c r="AM40" i="12"/>
  <c r="AN40" i="12" s="1"/>
  <c r="AM41" i="12"/>
  <c r="AN41" i="12" s="1"/>
  <c r="AM42" i="12"/>
  <c r="AN42" i="12" s="1"/>
  <c r="AM43" i="12"/>
  <c r="AN43" i="12" s="1"/>
  <c r="AM44" i="12"/>
  <c r="AM45" i="12"/>
  <c r="AN45" i="12" s="1"/>
  <c r="AM46" i="12"/>
  <c r="AM47" i="12"/>
  <c r="AM48" i="12"/>
  <c r="AN48" i="12" s="1"/>
  <c r="AM49" i="12"/>
  <c r="AN49" i="12" s="1"/>
  <c r="AM50" i="12"/>
  <c r="AN50" i="12" s="1"/>
  <c r="AM51" i="12"/>
  <c r="AN51" i="12" s="1"/>
  <c r="AM52" i="12"/>
  <c r="AN52" i="12" s="1"/>
  <c r="AM53" i="12"/>
  <c r="AN53" i="12" s="1"/>
  <c r="AM54" i="12"/>
  <c r="AN54" i="12" s="1"/>
  <c r="AM55" i="12"/>
  <c r="AN55" i="12" s="1"/>
  <c r="AM56" i="12"/>
  <c r="AM57" i="12"/>
  <c r="AN57" i="12" s="1"/>
  <c r="AM58" i="12"/>
  <c r="AM6" i="12"/>
  <c r="M61" i="14" l="1"/>
  <c r="M49" i="14"/>
  <c r="M37" i="14"/>
  <c r="M25" i="14"/>
  <c r="M40" i="14"/>
  <c r="M28" i="14"/>
  <c r="N28" i="14" s="1"/>
  <c r="M59" i="14"/>
  <c r="M47" i="14"/>
  <c r="M35" i="14"/>
  <c r="N35" i="14" s="1"/>
  <c r="M23" i="14"/>
  <c r="M58" i="14"/>
  <c r="M46" i="14"/>
  <c r="M34" i="14"/>
  <c r="N34" i="14" s="1"/>
  <c r="M22" i="14"/>
  <c r="M57" i="14"/>
  <c r="M45" i="14"/>
  <c r="N45" i="14" s="1"/>
  <c r="M33" i="14"/>
  <c r="N33" i="14" s="1"/>
  <c r="M21" i="14"/>
  <c r="M68" i="14"/>
  <c r="M56" i="14"/>
  <c r="M44" i="14"/>
  <c r="M32" i="14"/>
  <c r="M20" i="14"/>
  <c r="M67" i="14"/>
  <c r="M55" i="14"/>
  <c r="M43" i="14"/>
  <c r="M31" i="14"/>
  <c r="M19" i="14"/>
  <c r="M66" i="14"/>
  <c r="N66" i="14" s="1"/>
  <c r="M54" i="14"/>
  <c r="M42" i="14"/>
  <c r="M30" i="14"/>
  <c r="M18" i="14"/>
  <c r="M65" i="14"/>
  <c r="N65" i="14" s="1"/>
  <c r="M53" i="14"/>
  <c r="M41" i="14"/>
  <c r="M29" i="14"/>
  <c r="N29" i="14" s="1"/>
  <c r="M63" i="14"/>
  <c r="N63" i="14" s="1"/>
  <c r="M51" i="14"/>
  <c r="N51" i="14" s="1"/>
  <c r="M39" i="14"/>
  <c r="N39" i="14" s="1"/>
  <c r="M27" i="14"/>
  <c r="M62" i="14"/>
  <c r="M50" i="14"/>
  <c r="M38" i="14"/>
  <c r="M26" i="14"/>
  <c r="N68" i="14"/>
  <c r="N69" i="14"/>
  <c r="G17" i="14"/>
  <c r="M17" i="14" s="1"/>
  <c r="N21" i="14"/>
  <c r="N24" i="14"/>
  <c r="N18" i="14"/>
  <c r="N52" i="14"/>
  <c r="N57" i="14"/>
  <c r="N30" i="14"/>
  <c r="N48" i="14"/>
  <c r="N60" i="14"/>
  <c r="N54" i="14"/>
  <c r="N55" i="14"/>
  <c r="N22" i="14"/>
  <c r="N46" i="14"/>
  <c r="N64" i="14"/>
  <c r="H10" i="13"/>
  <c r="H8" i="13"/>
  <c r="H7" i="13"/>
  <c r="H6" i="13"/>
  <c r="H5" i="13"/>
  <c r="G10" i="13"/>
  <c r="G8" i="13"/>
  <c r="G7" i="13"/>
  <c r="G6" i="13"/>
  <c r="G5" i="13"/>
  <c r="F10" i="13"/>
  <c r="F8" i="13"/>
  <c r="F7" i="13"/>
  <c r="K7" i="13" s="1"/>
  <c r="F6" i="13"/>
  <c r="F5" i="13"/>
  <c r="E10" i="13"/>
  <c r="E8" i="13"/>
  <c r="E7" i="13"/>
  <c r="E6" i="13"/>
  <c r="E5" i="13"/>
  <c r="D10" i="13"/>
  <c r="D8" i="13"/>
  <c r="D7" i="13"/>
  <c r="D6" i="13"/>
  <c r="D5" i="13"/>
  <c r="K5" i="13" s="1"/>
  <c r="J8" i="13"/>
  <c r="J7" i="13"/>
  <c r="J6" i="13"/>
  <c r="J5" i="13"/>
  <c r="C10" i="13"/>
  <c r="C7" i="13"/>
  <c r="C5" i="13"/>
  <c r="C8" i="13"/>
  <c r="C6" i="13"/>
  <c r="D11" i="13"/>
  <c r="C11" i="13"/>
  <c r="T17" i="11"/>
  <c r="S17" i="11"/>
  <c r="R17" i="11"/>
  <c r="O17" i="11"/>
  <c r="N17" i="11"/>
  <c r="M17" i="11"/>
  <c r="L17" i="11"/>
  <c r="K17" i="11"/>
  <c r="J17" i="11"/>
  <c r="I17" i="11"/>
  <c r="H17" i="11"/>
  <c r="G17" i="11"/>
  <c r="D17" i="11"/>
  <c r="U18" i="11"/>
  <c r="T16" i="11"/>
  <c r="T15" i="11"/>
  <c r="T14" i="11"/>
  <c r="T13" i="11"/>
  <c r="T12" i="11"/>
  <c r="T11" i="11"/>
  <c r="T10" i="11"/>
  <c r="T9" i="11"/>
  <c r="U9" i="11" s="1"/>
  <c r="T8" i="11"/>
  <c r="U15" i="11"/>
  <c r="U16" i="11"/>
  <c r="U14" i="11"/>
  <c r="U13" i="11"/>
  <c r="U12" i="11"/>
  <c r="U11" i="11"/>
  <c r="U10" i="11"/>
  <c r="U8" i="11"/>
  <c r="K13" i="11"/>
  <c r="E16" i="11"/>
  <c r="E15" i="11"/>
  <c r="E14" i="11"/>
  <c r="E13" i="11"/>
  <c r="K16" i="11"/>
  <c r="K15" i="11"/>
  <c r="K14" i="11"/>
  <c r="N53" i="14" l="1"/>
  <c r="N59" i="14"/>
  <c r="N41" i="14"/>
  <c r="N32" i="14"/>
  <c r="N38" i="14"/>
  <c r="N36" i="14"/>
  <c r="N42" i="14"/>
  <c r="N58" i="14"/>
  <c r="N26" i="14"/>
  <c r="N47" i="14"/>
  <c r="N62" i="14"/>
  <c r="N49" i="14"/>
  <c r="N40" i="14"/>
  <c r="N56" i="14"/>
  <c r="N27" i="14"/>
  <c r="N37" i="14"/>
  <c r="N67" i="14"/>
  <c r="N31" i="14"/>
  <c r="N20" i="14"/>
  <c r="N23" i="14"/>
  <c r="K8" i="13"/>
  <c r="E11" i="13"/>
  <c r="I6" i="13"/>
  <c r="I8" i="13"/>
  <c r="K6" i="13"/>
  <c r="G11" i="13"/>
  <c r="H11" i="13"/>
  <c r="K10" i="13"/>
  <c r="K9" i="13"/>
  <c r="G12" i="13"/>
  <c r="F11" i="13"/>
  <c r="C9" i="13"/>
  <c r="D9" i="13"/>
  <c r="D12" i="13" s="1"/>
  <c r="I5" i="13"/>
  <c r="E9" i="13"/>
  <c r="E12" i="13" s="1"/>
  <c r="F9" i="13"/>
  <c r="I7" i="13"/>
  <c r="G9" i="13"/>
  <c r="H9" i="13"/>
  <c r="H12" i="13" s="1"/>
  <c r="J9" i="13"/>
  <c r="I10" i="13"/>
  <c r="I11" i="13" s="1"/>
  <c r="N9" i="11"/>
  <c r="O9" i="11" s="1"/>
  <c r="N10" i="11"/>
  <c r="O10" i="11" s="1"/>
  <c r="N11" i="11"/>
  <c r="O11" i="11" s="1"/>
  <c r="N12" i="11"/>
  <c r="O12" i="11" s="1"/>
  <c r="N13" i="11"/>
  <c r="P13" i="11" s="1"/>
  <c r="N14" i="11"/>
  <c r="O14" i="11" s="1"/>
  <c r="P14" i="11" s="1"/>
  <c r="Q14" i="11" s="1"/>
  <c r="N15" i="11"/>
  <c r="O15" i="11" s="1"/>
  <c r="P15" i="11" s="1"/>
  <c r="Q15" i="11" s="1"/>
  <c r="N16" i="11"/>
  <c r="O16" i="11" s="1"/>
  <c r="P16" i="11" s="1"/>
  <c r="Q16" i="11" s="1"/>
  <c r="N8" i="11"/>
  <c r="O8" i="11" s="1"/>
  <c r="AF58" i="12"/>
  <c r="AE58" i="12"/>
  <c r="AD58" i="12"/>
  <c r="AC58" i="12"/>
  <c r="AB58" i="12"/>
  <c r="AA58" i="12"/>
  <c r="Z58" i="12"/>
  <c r="X58" i="12"/>
  <c r="W58" i="12"/>
  <c r="V58" i="12"/>
  <c r="N58" i="12"/>
  <c r="AD55" i="12"/>
  <c r="T55" i="12"/>
  <c r="AQ55" i="12" s="1"/>
  <c r="R55" i="12"/>
  <c r="Q55" i="12"/>
  <c r="X55" i="12" s="1"/>
  <c r="P55" i="12"/>
  <c r="W55" i="12" s="1"/>
  <c r="O55" i="12"/>
  <c r="AC55" i="12" s="1"/>
  <c r="N55" i="12"/>
  <c r="AD54" i="12"/>
  <c r="T54" i="12"/>
  <c r="AQ54" i="12" s="1"/>
  <c r="R54" i="12"/>
  <c r="Q54" i="12"/>
  <c r="X54" i="12" s="1"/>
  <c r="P54" i="12"/>
  <c r="W54" i="12" s="1"/>
  <c r="O54" i="12"/>
  <c r="V54" i="12" s="1"/>
  <c r="N54" i="12"/>
  <c r="AD53" i="12"/>
  <c r="T53" i="12"/>
  <c r="AQ53" i="12" s="1"/>
  <c r="R53" i="12"/>
  <c r="Q53" i="12"/>
  <c r="X53" i="12" s="1"/>
  <c r="P53" i="12"/>
  <c r="W53" i="12" s="1"/>
  <c r="O53" i="12"/>
  <c r="N53" i="12"/>
  <c r="AD52" i="12"/>
  <c r="T52" i="12"/>
  <c r="AQ52" i="12" s="1"/>
  <c r="R52" i="12"/>
  <c r="Q52" i="12"/>
  <c r="X52" i="12" s="1"/>
  <c r="P52" i="12"/>
  <c r="W52" i="12" s="1"/>
  <c r="O52" i="12"/>
  <c r="AF52" i="12" s="1"/>
  <c r="N52" i="12"/>
  <c r="AQ51" i="12"/>
  <c r="AD51" i="12"/>
  <c r="T51" i="12"/>
  <c r="R51" i="12"/>
  <c r="Q51" i="12"/>
  <c r="X51" i="12" s="1"/>
  <c r="P51" i="12"/>
  <c r="W51" i="12" s="1"/>
  <c r="O51" i="12"/>
  <c r="V51" i="12" s="1"/>
  <c r="N51" i="12"/>
  <c r="AD50" i="12"/>
  <c r="T50" i="12"/>
  <c r="AQ50" i="12" s="1"/>
  <c r="R50" i="12"/>
  <c r="Q50" i="12"/>
  <c r="X50" i="12" s="1"/>
  <c r="P50" i="12"/>
  <c r="W50" i="12" s="1"/>
  <c r="O50" i="12"/>
  <c r="AF50" i="12" s="1"/>
  <c r="N50" i="12"/>
  <c r="AD49" i="12"/>
  <c r="T49" i="12"/>
  <c r="AQ49" i="12" s="1"/>
  <c r="R49" i="12"/>
  <c r="Q49" i="12"/>
  <c r="X49" i="12" s="1"/>
  <c r="P49" i="12"/>
  <c r="W49" i="12" s="1"/>
  <c r="O49" i="12"/>
  <c r="AF49" i="12" s="1"/>
  <c r="N49" i="12"/>
  <c r="AD48" i="12"/>
  <c r="T48" i="12"/>
  <c r="AQ48" i="12" s="1"/>
  <c r="R48" i="12"/>
  <c r="Q48" i="12"/>
  <c r="X48" i="12" s="1"/>
  <c r="P48" i="12"/>
  <c r="W48" i="12" s="1"/>
  <c r="O48" i="12"/>
  <c r="V48" i="12" s="1"/>
  <c r="N48" i="12"/>
  <c r="AD56" i="12"/>
  <c r="T56" i="12"/>
  <c r="AQ56" i="12" s="1"/>
  <c r="R56" i="12"/>
  <c r="Q56" i="12"/>
  <c r="X56" i="12" s="1"/>
  <c r="P56" i="12"/>
  <c r="W56" i="12" s="1"/>
  <c r="O56" i="12"/>
  <c r="AE56" i="12" s="1"/>
  <c r="N56" i="12"/>
  <c r="AD47" i="12"/>
  <c r="T47" i="12"/>
  <c r="AQ47" i="12" s="1"/>
  <c r="R47" i="12"/>
  <c r="Q47" i="12"/>
  <c r="X47" i="12" s="1"/>
  <c r="P47" i="12"/>
  <c r="W47" i="12" s="1"/>
  <c r="O47" i="12"/>
  <c r="V47" i="12" s="1"/>
  <c r="N47" i="12"/>
  <c r="AD46" i="12"/>
  <c r="T46" i="12"/>
  <c r="AQ46" i="12" s="1"/>
  <c r="R46" i="12"/>
  <c r="Q46" i="12"/>
  <c r="X46" i="12" s="1"/>
  <c r="P46" i="12"/>
  <c r="W46" i="12" s="1"/>
  <c r="O46" i="12"/>
  <c r="AF46" i="12" s="1"/>
  <c r="N46" i="12"/>
  <c r="AD45" i="12"/>
  <c r="T45" i="12"/>
  <c r="AQ45" i="12" s="1"/>
  <c r="R45" i="12"/>
  <c r="Q45" i="12"/>
  <c r="X45" i="12" s="1"/>
  <c r="P45" i="12"/>
  <c r="W45" i="12" s="1"/>
  <c r="O45" i="12"/>
  <c r="AB45" i="12" s="1"/>
  <c r="N45" i="12"/>
  <c r="AD44" i="12"/>
  <c r="T44" i="12"/>
  <c r="AQ44" i="12" s="1"/>
  <c r="R44" i="12"/>
  <c r="Q44" i="12"/>
  <c r="X44" i="12" s="1"/>
  <c r="P44" i="12"/>
  <c r="W44" i="12" s="1"/>
  <c r="O44" i="12"/>
  <c r="AF44" i="12" s="1"/>
  <c r="N44" i="12"/>
  <c r="AD43" i="12"/>
  <c r="T43" i="12"/>
  <c r="AQ43" i="12" s="1"/>
  <c r="R43" i="12"/>
  <c r="Q43" i="12"/>
  <c r="X43" i="12" s="1"/>
  <c r="P43" i="12"/>
  <c r="W43" i="12" s="1"/>
  <c r="O43" i="12"/>
  <c r="AC43" i="12" s="1"/>
  <c r="N43" i="12"/>
  <c r="AD42" i="12"/>
  <c r="T42" i="12"/>
  <c r="AQ42" i="12" s="1"/>
  <c r="R42" i="12"/>
  <c r="Q42" i="12"/>
  <c r="X42" i="12" s="1"/>
  <c r="P42" i="12"/>
  <c r="W42" i="12" s="1"/>
  <c r="O42" i="12"/>
  <c r="V42" i="12" s="1"/>
  <c r="N42" i="12"/>
  <c r="AD41" i="12"/>
  <c r="T41" i="12"/>
  <c r="AQ41" i="12" s="1"/>
  <c r="R41" i="12"/>
  <c r="Q41" i="12"/>
  <c r="X41" i="12" s="1"/>
  <c r="P41" i="12"/>
  <c r="W41" i="12" s="1"/>
  <c r="O41" i="12"/>
  <c r="V41" i="12" s="1"/>
  <c r="N41" i="12"/>
  <c r="AD40" i="12"/>
  <c r="T40" i="12"/>
  <c r="AQ40" i="12" s="1"/>
  <c r="R40" i="12"/>
  <c r="Q40" i="12"/>
  <c r="X40" i="12" s="1"/>
  <c r="P40" i="12"/>
  <c r="W40" i="12" s="1"/>
  <c r="O40" i="12"/>
  <c r="AC40" i="12" s="1"/>
  <c r="N40" i="12"/>
  <c r="AD39" i="12"/>
  <c r="T39" i="12"/>
  <c r="AQ39" i="12" s="1"/>
  <c r="R39" i="12"/>
  <c r="Q39" i="12"/>
  <c r="X39" i="12" s="1"/>
  <c r="P39" i="12"/>
  <c r="W39" i="12" s="1"/>
  <c r="O39" i="12"/>
  <c r="V39" i="12" s="1"/>
  <c r="N39" i="12"/>
  <c r="AD38" i="12"/>
  <c r="T38" i="12"/>
  <c r="AQ38" i="12" s="1"/>
  <c r="R38" i="12"/>
  <c r="Q38" i="12"/>
  <c r="X38" i="12" s="1"/>
  <c r="P38" i="12"/>
  <c r="W38" i="12" s="1"/>
  <c r="O38" i="12"/>
  <c r="AF38" i="12" s="1"/>
  <c r="N38" i="12"/>
  <c r="AD37" i="12"/>
  <c r="T37" i="12"/>
  <c r="AQ37" i="12" s="1"/>
  <c r="R37" i="12"/>
  <c r="Q37" i="12"/>
  <c r="X37" i="12" s="1"/>
  <c r="P37" i="12"/>
  <c r="W37" i="12" s="1"/>
  <c r="O37" i="12"/>
  <c r="AF37" i="12" s="1"/>
  <c r="N37" i="12"/>
  <c r="AD36" i="12"/>
  <c r="T36" i="12"/>
  <c r="AQ36" i="12" s="1"/>
  <c r="R36" i="12"/>
  <c r="Q36" i="12"/>
  <c r="X36" i="12" s="1"/>
  <c r="P36" i="12"/>
  <c r="W36" i="12" s="1"/>
  <c r="O36" i="12"/>
  <c r="V36" i="12" s="1"/>
  <c r="N36" i="12"/>
  <c r="AD35" i="12"/>
  <c r="T35" i="12"/>
  <c r="AQ35" i="12" s="1"/>
  <c r="R35" i="12"/>
  <c r="Q35" i="12"/>
  <c r="X35" i="12" s="1"/>
  <c r="P35" i="12"/>
  <c r="W35" i="12" s="1"/>
  <c r="O35" i="12"/>
  <c r="N35" i="12"/>
  <c r="AD34" i="12"/>
  <c r="T34" i="12"/>
  <c r="AQ34" i="12" s="1"/>
  <c r="R34" i="12"/>
  <c r="Q34" i="12"/>
  <c r="X34" i="12" s="1"/>
  <c r="P34" i="12"/>
  <c r="W34" i="12" s="1"/>
  <c r="O34" i="12"/>
  <c r="AF34" i="12" s="1"/>
  <c r="N34" i="12"/>
  <c r="AD33" i="12"/>
  <c r="T33" i="12"/>
  <c r="AQ33" i="12" s="1"/>
  <c r="R33" i="12"/>
  <c r="Q33" i="12"/>
  <c r="X33" i="12" s="1"/>
  <c r="P33" i="12"/>
  <c r="W33" i="12" s="1"/>
  <c r="O33" i="12"/>
  <c r="V33" i="12" s="1"/>
  <c r="N33" i="12"/>
  <c r="AD32" i="12"/>
  <c r="T32" i="12"/>
  <c r="AQ32" i="12" s="1"/>
  <c r="R32" i="12"/>
  <c r="Q32" i="12"/>
  <c r="X32" i="12" s="1"/>
  <c r="P32" i="12"/>
  <c r="W32" i="12" s="1"/>
  <c r="O32" i="12"/>
  <c r="N32" i="12"/>
  <c r="AD31" i="12"/>
  <c r="T31" i="12"/>
  <c r="AQ31" i="12" s="1"/>
  <c r="R31" i="12"/>
  <c r="Q31" i="12"/>
  <c r="X31" i="12" s="1"/>
  <c r="P31" i="12"/>
  <c r="W31" i="12" s="1"/>
  <c r="O31" i="12"/>
  <c r="Z31" i="12" s="1"/>
  <c r="N31" i="12"/>
  <c r="AD30" i="12"/>
  <c r="T30" i="12"/>
  <c r="AQ30" i="12" s="1"/>
  <c r="R30" i="12"/>
  <c r="Q30" i="12"/>
  <c r="X30" i="12" s="1"/>
  <c r="P30" i="12"/>
  <c r="W30" i="12" s="1"/>
  <c r="O30" i="12"/>
  <c r="Z30" i="12" s="1"/>
  <c r="N30" i="12"/>
  <c r="AD29" i="12"/>
  <c r="T29" i="12"/>
  <c r="AQ29" i="12" s="1"/>
  <c r="R29" i="12"/>
  <c r="Q29" i="12"/>
  <c r="X29" i="12" s="1"/>
  <c r="P29" i="12"/>
  <c r="W29" i="12" s="1"/>
  <c r="O29" i="12"/>
  <c r="AC29" i="12" s="1"/>
  <c r="N29" i="12"/>
  <c r="AD28" i="12"/>
  <c r="T28" i="12"/>
  <c r="AQ28" i="12" s="1"/>
  <c r="R28" i="12"/>
  <c r="Q28" i="12"/>
  <c r="X28" i="12" s="1"/>
  <c r="P28" i="12"/>
  <c r="W28" i="12" s="1"/>
  <c r="O28" i="12"/>
  <c r="N28" i="12"/>
  <c r="AF57" i="12"/>
  <c r="AE57" i="12"/>
  <c r="AD57" i="12"/>
  <c r="AC57" i="12"/>
  <c r="AB57" i="12"/>
  <c r="AA57" i="12"/>
  <c r="Z57" i="12"/>
  <c r="W57" i="12"/>
  <c r="V57" i="12"/>
  <c r="T57" i="12"/>
  <c r="AQ57" i="12" s="1"/>
  <c r="R57" i="12"/>
  <c r="Q57" i="12"/>
  <c r="X57" i="12" s="1"/>
  <c r="N57" i="12"/>
  <c r="AD27" i="12"/>
  <c r="T27" i="12"/>
  <c r="AQ27" i="12" s="1"/>
  <c r="R27" i="12"/>
  <c r="Q27" i="12"/>
  <c r="X27" i="12" s="1"/>
  <c r="P27" i="12"/>
  <c r="W27" i="12" s="1"/>
  <c r="O27" i="12"/>
  <c r="V27" i="12" s="1"/>
  <c r="N27" i="12"/>
  <c r="AD26" i="12"/>
  <c r="T26" i="12"/>
  <c r="AQ26" i="12" s="1"/>
  <c r="R26" i="12"/>
  <c r="Q26" i="12"/>
  <c r="X26" i="12" s="1"/>
  <c r="P26" i="12"/>
  <c r="W26" i="12" s="1"/>
  <c r="O26" i="12"/>
  <c r="AF26" i="12" s="1"/>
  <c r="N26" i="12"/>
  <c r="AD25" i="12"/>
  <c r="T25" i="12"/>
  <c r="AQ25" i="12" s="1"/>
  <c r="R25" i="12"/>
  <c r="Q25" i="12"/>
  <c r="X25" i="12" s="1"/>
  <c r="P25" i="12"/>
  <c r="W25" i="12" s="1"/>
  <c r="O25" i="12"/>
  <c r="N25" i="12"/>
  <c r="AD24" i="12"/>
  <c r="T24" i="12"/>
  <c r="AQ24" i="12" s="1"/>
  <c r="R24" i="12"/>
  <c r="Q24" i="12"/>
  <c r="X24" i="12" s="1"/>
  <c r="P24" i="12"/>
  <c r="W24" i="12" s="1"/>
  <c r="O24" i="12"/>
  <c r="AF24" i="12" s="1"/>
  <c r="N24" i="12"/>
  <c r="AD23" i="12"/>
  <c r="T23" i="12"/>
  <c r="AQ23" i="12" s="1"/>
  <c r="R23" i="12"/>
  <c r="Q23" i="12"/>
  <c r="X23" i="12" s="1"/>
  <c r="P23" i="12"/>
  <c r="W23" i="12" s="1"/>
  <c r="O23" i="12"/>
  <c r="N23" i="12"/>
  <c r="AD22" i="12"/>
  <c r="T22" i="12"/>
  <c r="AQ22" i="12" s="1"/>
  <c r="R22" i="12"/>
  <c r="Q22" i="12"/>
  <c r="X22" i="12" s="1"/>
  <c r="P22" i="12"/>
  <c r="W22" i="12" s="1"/>
  <c r="O22" i="12"/>
  <c r="N22" i="12"/>
  <c r="AD21" i="12"/>
  <c r="T21" i="12"/>
  <c r="AQ21" i="12" s="1"/>
  <c r="R21" i="12"/>
  <c r="Q21" i="12"/>
  <c r="X21" i="12" s="1"/>
  <c r="P21" i="12"/>
  <c r="W21" i="12" s="1"/>
  <c r="O21" i="12"/>
  <c r="AC21" i="12" s="1"/>
  <c r="N21" i="12"/>
  <c r="AD20" i="12"/>
  <c r="T20" i="12"/>
  <c r="AQ20" i="12" s="1"/>
  <c r="R20" i="12"/>
  <c r="Q20" i="12"/>
  <c r="X20" i="12" s="1"/>
  <c r="P20" i="12"/>
  <c r="W20" i="12" s="1"/>
  <c r="O20" i="12"/>
  <c r="V20" i="12" s="1"/>
  <c r="N20" i="12"/>
  <c r="AD19" i="12"/>
  <c r="T19" i="12"/>
  <c r="AQ19" i="12" s="1"/>
  <c r="R19" i="12"/>
  <c r="Q19" i="12"/>
  <c r="X19" i="12" s="1"/>
  <c r="P19" i="12"/>
  <c r="W19" i="12" s="1"/>
  <c r="O19" i="12"/>
  <c r="AF19" i="12" s="1"/>
  <c r="N19" i="12"/>
  <c r="AD18" i="12"/>
  <c r="T18" i="12"/>
  <c r="AQ18" i="12" s="1"/>
  <c r="R18" i="12"/>
  <c r="Q18" i="12"/>
  <c r="X18" i="12" s="1"/>
  <c r="P18" i="12"/>
  <c r="W18" i="12" s="1"/>
  <c r="O18" i="12"/>
  <c r="AC18" i="12" s="1"/>
  <c r="N18" i="12"/>
  <c r="AD17" i="12"/>
  <c r="T17" i="12"/>
  <c r="AQ17" i="12" s="1"/>
  <c r="R17" i="12"/>
  <c r="Q17" i="12"/>
  <c r="X17" i="12" s="1"/>
  <c r="P17" i="12"/>
  <c r="W17" i="12" s="1"/>
  <c r="O17" i="12"/>
  <c r="V17" i="12" s="1"/>
  <c r="N17" i="12"/>
  <c r="AD16" i="12"/>
  <c r="T16" i="12"/>
  <c r="AQ16" i="12" s="1"/>
  <c r="R16" i="12"/>
  <c r="Q16" i="12"/>
  <c r="X16" i="12" s="1"/>
  <c r="P16" i="12"/>
  <c r="W16" i="12" s="1"/>
  <c r="O16" i="12"/>
  <c r="AE16" i="12" s="1"/>
  <c r="N16" i="12"/>
  <c r="AD15" i="12"/>
  <c r="T15" i="12"/>
  <c r="AQ15" i="12" s="1"/>
  <c r="R15" i="12"/>
  <c r="Q15" i="12"/>
  <c r="X15" i="12" s="1"/>
  <c r="P15" i="12"/>
  <c r="W15" i="12" s="1"/>
  <c r="O15" i="12"/>
  <c r="AF15" i="12" s="1"/>
  <c r="N15" i="12"/>
  <c r="AD14" i="12"/>
  <c r="T14" i="12"/>
  <c r="AQ14" i="12" s="1"/>
  <c r="R14" i="12"/>
  <c r="Q14" i="12"/>
  <c r="X14" i="12" s="1"/>
  <c r="P14" i="12"/>
  <c r="W14" i="12" s="1"/>
  <c r="O14" i="12"/>
  <c r="V14" i="12" s="1"/>
  <c r="N14" i="12"/>
  <c r="AD13" i="12"/>
  <c r="T13" i="12"/>
  <c r="AQ13" i="12" s="1"/>
  <c r="R13" i="12"/>
  <c r="Q13" i="12"/>
  <c r="X13" i="12" s="1"/>
  <c r="P13" i="12"/>
  <c r="W13" i="12" s="1"/>
  <c r="O13" i="12"/>
  <c r="V13" i="12" s="1"/>
  <c r="N13" i="12"/>
  <c r="AD12" i="12"/>
  <c r="T12" i="12"/>
  <c r="AQ12" i="12" s="1"/>
  <c r="R12" i="12"/>
  <c r="Q12" i="12"/>
  <c r="X12" i="12" s="1"/>
  <c r="P12" i="12"/>
  <c r="W12" i="12" s="1"/>
  <c r="O12" i="12"/>
  <c r="AF12" i="12" s="1"/>
  <c r="N12" i="12"/>
  <c r="AD11" i="12"/>
  <c r="T11" i="12"/>
  <c r="AQ11" i="12" s="1"/>
  <c r="R11" i="12"/>
  <c r="Q11" i="12"/>
  <c r="X11" i="12" s="1"/>
  <c r="P11" i="12"/>
  <c r="W11" i="12" s="1"/>
  <c r="O11" i="12"/>
  <c r="V11" i="12" s="1"/>
  <c r="N11" i="12"/>
  <c r="AD10" i="12"/>
  <c r="T10" i="12"/>
  <c r="AQ10" i="12" s="1"/>
  <c r="R10" i="12"/>
  <c r="Q10" i="12"/>
  <c r="X10" i="12" s="1"/>
  <c r="P10" i="12"/>
  <c r="W10" i="12" s="1"/>
  <c r="O10" i="12"/>
  <c r="AE10" i="12" s="1"/>
  <c r="N10" i="12"/>
  <c r="AD9" i="12"/>
  <c r="T9" i="12"/>
  <c r="AQ9" i="12" s="1"/>
  <c r="R9" i="12"/>
  <c r="Q9" i="12"/>
  <c r="X9" i="12" s="1"/>
  <c r="P9" i="12"/>
  <c r="W9" i="12" s="1"/>
  <c r="O9" i="12"/>
  <c r="N9" i="12"/>
  <c r="AD8" i="12"/>
  <c r="T8" i="12"/>
  <c r="AQ8" i="12" s="1"/>
  <c r="R8" i="12"/>
  <c r="Q8" i="12"/>
  <c r="X8" i="12" s="1"/>
  <c r="P8" i="12"/>
  <c r="W8" i="12" s="1"/>
  <c r="O8" i="12"/>
  <c r="AF8" i="12" s="1"/>
  <c r="N8" i="12"/>
  <c r="AD7" i="12"/>
  <c r="T7" i="12"/>
  <c r="AQ7" i="12" s="1"/>
  <c r="R7" i="12"/>
  <c r="Q7" i="12"/>
  <c r="X7" i="12" s="1"/>
  <c r="P7" i="12"/>
  <c r="W7" i="12" s="1"/>
  <c r="O7" i="12"/>
  <c r="N7" i="12"/>
  <c r="AD6" i="12"/>
  <c r="AB6" i="12"/>
  <c r="T6" i="12"/>
  <c r="R6" i="12"/>
  <c r="Q6" i="12"/>
  <c r="P6" i="12"/>
  <c r="W6" i="12" s="1"/>
  <c r="AN6" i="12" s="1"/>
  <c r="O6" i="12"/>
  <c r="N6" i="12"/>
  <c r="G12" i="11"/>
  <c r="K12" i="11" s="1"/>
  <c r="E12" i="11"/>
  <c r="G11" i="11"/>
  <c r="K11" i="11" s="1"/>
  <c r="E11" i="11"/>
  <c r="G10" i="11"/>
  <c r="K10" i="11" s="1"/>
  <c r="E10" i="11"/>
  <c r="G9" i="11"/>
  <c r="K9" i="11" s="1"/>
  <c r="E9" i="11"/>
  <c r="G8" i="11"/>
  <c r="E8" i="11"/>
  <c r="Q13" i="11" l="1"/>
  <c r="P17" i="11"/>
  <c r="N25" i="14"/>
  <c r="N44" i="14"/>
  <c r="N43" i="14"/>
  <c r="N50" i="14"/>
  <c r="N19" i="14"/>
  <c r="N61" i="14"/>
  <c r="Z24" i="12"/>
  <c r="AA34" i="12"/>
  <c r="Z6" i="12"/>
  <c r="X6" i="12"/>
  <c r="AQ6" i="12"/>
  <c r="AE11" i="12"/>
  <c r="AF13" i="12"/>
  <c r="AC33" i="12"/>
  <c r="AB34" i="12"/>
  <c r="AC34" i="12"/>
  <c r="AB30" i="12"/>
  <c r="AB33" i="12"/>
  <c r="AA17" i="12"/>
  <c r="AC30" i="12"/>
  <c r="AC14" i="12"/>
  <c r="AF30" i="12"/>
  <c r="Z40" i="12"/>
  <c r="AE45" i="12"/>
  <c r="Z27" i="12"/>
  <c r="V12" i="12"/>
  <c r="Z12" i="12"/>
  <c r="AE18" i="12"/>
  <c r="Y47" i="12"/>
  <c r="AF56" i="12"/>
  <c r="Z34" i="12"/>
  <c r="AA30" i="12"/>
  <c r="V8" i="12"/>
  <c r="Y8" i="12" s="1"/>
  <c r="AF42" i="12"/>
  <c r="AB17" i="12"/>
  <c r="AF18" i="12"/>
  <c r="AA37" i="12"/>
  <c r="AE14" i="12"/>
  <c r="AB37" i="12"/>
  <c r="Z52" i="12"/>
  <c r="Z55" i="12"/>
  <c r="AF17" i="12"/>
  <c r="AE33" i="12"/>
  <c r="AC37" i="12"/>
  <c r="Y51" i="12"/>
  <c r="AA52" i="12"/>
  <c r="AA55" i="12"/>
  <c r="AC20" i="12"/>
  <c r="AE36" i="12"/>
  <c r="AE37" i="12"/>
  <c r="AA40" i="12"/>
  <c r="Z47" i="12"/>
  <c r="AF36" i="12"/>
  <c r="AC54" i="12"/>
  <c r="Y58" i="12"/>
  <c r="AE43" i="12"/>
  <c r="Z46" i="12"/>
  <c r="AF43" i="12"/>
  <c r="Y13" i="12"/>
  <c r="AE42" i="12"/>
  <c r="AB20" i="12"/>
  <c r="AE38" i="12"/>
  <c r="AC45" i="12"/>
  <c r="AB54" i="12"/>
  <c r="Z21" i="12"/>
  <c r="AE20" i="12"/>
  <c r="AA21" i="12"/>
  <c r="V24" i="12"/>
  <c r="Y24" i="12" s="1"/>
  <c r="Z33" i="12"/>
  <c r="Y39" i="12"/>
  <c r="AF45" i="12"/>
  <c r="AF54" i="12"/>
  <c r="Z8" i="12"/>
  <c r="Z17" i="12"/>
  <c r="AF20" i="12"/>
  <c r="AE30" i="12"/>
  <c r="AA33" i="12"/>
  <c r="V34" i="12"/>
  <c r="Y34" i="12" s="1"/>
  <c r="V40" i="12"/>
  <c r="Y40" i="12" s="1"/>
  <c r="AB42" i="12"/>
  <c r="AE55" i="12"/>
  <c r="AF55" i="12"/>
  <c r="AG57" i="12"/>
  <c r="Z51" i="12"/>
  <c r="Y54" i="12"/>
  <c r="AA51" i="12"/>
  <c r="AE21" i="12"/>
  <c r="AA27" i="12"/>
  <c r="AE41" i="12"/>
  <c r="AB51" i="12"/>
  <c r="AF21" i="12"/>
  <c r="V6" i="12"/>
  <c r="Z15" i="12"/>
  <c r="AF16" i="12"/>
  <c r="AB14" i="12"/>
  <c r="AA15" i="12"/>
  <c r="V30" i="12"/>
  <c r="Y30" i="12" s="1"/>
  <c r="AF33" i="12"/>
  <c r="V37" i="12"/>
  <c r="AF41" i="12"/>
  <c r="AB56" i="12"/>
  <c r="Z20" i="12"/>
  <c r="Z37" i="12"/>
  <c r="AE40" i="12"/>
  <c r="V46" i="12"/>
  <c r="Y46" i="12" s="1"/>
  <c r="AC56" i="12"/>
  <c r="Z54" i="12"/>
  <c r="V55" i="12"/>
  <c r="Y55" i="12" s="1"/>
  <c r="AG58" i="12"/>
  <c r="AF6" i="12"/>
  <c r="Y17" i="12"/>
  <c r="AA20" i="12"/>
  <c r="V21" i="12"/>
  <c r="Y21" i="12" s="1"/>
  <c r="AF40" i="12"/>
  <c r="AA54" i="12"/>
  <c r="K11" i="13"/>
  <c r="K12" i="13" s="1"/>
  <c r="F12" i="13"/>
  <c r="I9" i="13"/>
  <c r="I12" i="13" s="1"/>
  <c r="AF11" i="12"/>
  <c r="AB15" i="12"/>
  <c r="AB52" i="12"/>
  <c r="AA8" i="12"/>
  <c r="AC15" i="12"/>
  <c r="AA24" i="12"/>
  <c r="AB27" i="12"/>
  <c r="AA46" i="12"/>
  <c r="AC51" i="12"/>
  <c r="AC52" i="12"/>
  <c r="AB8" i="12"/>
  <c r="AB24" i="12"/>
  <c r="AC27" i="12"/>
  <c r="AB46" i="12"/>
  <c r="V50" i="12"/>
  <c r="Y50" i="12" s="1"/>
  <c r="AC8" i="12"/>
  <c r="AE15" i="12"/>
  <c r="AC24" i="12"/>
  <c r="AC46" i="12"/>
  <c r="AC50" i="12"/>
  <c r="AE51" i="12"/>
  <c r="AE52" i="12"/>
  <c r="AF14" i="12"/>
  <c r="AB21" i="12"/>
  <c r="AE27" i="12"/>
  <c r="AC39" i="12"/>
  <c r="AB40" i="12"/>
  <c r="V49" i="12"/>
  <c r="Y49" i="12" s="1"/>
  <c r="AF51" i="12"/>
  <c r="AB55" i="12"/>
  <c r="AE8" i="12"/>
  <c r="V18" i="12"/>
  <c r="Y18" i="12" s="1"/>
  <c r="V19" i="12"/>
  <c r="Y19" i="12" s="1"/>
  <c r="AE24" i="12"/>
  <c r="AF27" i="12"/>
  <c r="Y42" i="12"/>
  <c r="AE46" i="12"/>
  <c r="AE50" i="12"/>
  <c r="AE13" i="12"/>
  <c r="Y33" i="12"/>
  <c r="AE39" i="12"/>
  <c r="V43" i="12"/>
  <c r="Y43" i="12" s="1"/>
  <c r="Z48" i="12"/>
  <c r="AE54" i="12"/>
  <c r="Y11" i="12"/>
  <c r="AF39" i="12"/>
  <c r="AA48" i="12"/>
  <c r="Z49" i="12"/>
  <c r="Z18" i="12"/>
  <c r="Y27" i="12"/>
  <c r="AB48" i="12"/>
  <c r="AA49" i="12"/>
  <c r="AA18" i="12"/>
  <c r="AE19" i="12"/>
  <c r="Z43" i="12"/>
  <c r="AC48" i="12"/>
  <c r="AB49" i="12"/>
  <c r="AA12" i="12"/>
  <c r="Y14" i="12"/>
  <c r="AC17" i="12"/>
  <c r="AB18" i="12"/>
  <c r="Y41" i="12"/>
  <c r="AA43" i="12"/>
  <c r="AC49" i="12"/>
  <c r="AB12" i="12"/>
  <c r="Y57" i="12"/>
  <c r="Y36" i="12"/>
  <c r="AC42" i="12"/>
  <c r="AB43" i="12"/>
  <c r="AE48" i="12"/>
  <c r="AC12" i="12"/>
  <c r="V15" i="12"/>
  <c r="Y15" i="12" s="1"/>
  <c r="AE17" i="12"/>
  <c r="AF48" i="12"/>
  <c r="V52" i="12"/>
  <c r="Y52" i="12" s="1"/>
  <c r="P10" i="11"/>
  <c r="Q10" i="11" s="1"/>
  <c r="P9" i="11"/>
  <c r="Q9" i="11" s="1"/>
  <c r="P12" i="11"/>
  <c r="Q12" i="11" s="1"/>
  <c r="P11" i="11"/>
  <c r="Q11" i="11" s="1"/>
  <c r="AC53" i="12"/>
  <c r="AB53" i="12"/>
  <c r="Z53" i="12"/>
  <c r="AA53" i="12"/>
  <c r="AF53" i="12"/>
  <c r="AE53" i="12"/>
  <c r="V53" i="12"/>
  <c r="Y53" i="12" s="1"/>
  <c r="Z23" i="12"/>
  <c r="V23" i="12"/>
  <c r="Y23" i="12" s="1"/>
  <c r="AF23" i="12"/>
  <c r="AE23" i="12"/>
  <c r="AC23" i="12"/>
  <c r="AB23" i="12"/>
  <c r="AA23" i="12"/>
  <c r="Y37" i="12"/>
  <c r="Y12" i="12"/>
  <c r="AF9" i="12"/>
  <c r="AC9" i="12"/>
  <c r="AB9" i="12"/>
  <c r="AE9" i="12"/>
  <c r="Z9" i="12"/>
  <c r="AA9" i="12"/>
  <c r="V9" i="12"/>
  <c r="Y9" i="12" s="1"/>
  <c r="AE22" i="12"/>
  <c r="AB22" i="12"/>
  <c r="AA22" i="12"/>
  <c r="AC22" i="12"/>
  <c r="AF22" i="12"/>
  <c r="Z22" i="12"/>
  <c r="V22" i="12"/>
  <c r="Y22" i="12" s="1"/>
  <c r="Z7" i="12"/>
  <c r="V7" i="12"/>
  <c r="Y7" i="12" s="1"/>
  <c r="AE7" i="12"/>
  <c r="AC7" i="12"/>
  <c r="AB7" i="12"/>
  <c r="AF7" i="12"/>
  <c r="AA7" i="12"/>
  <c r="Y48" i="12"/>
  <c r="AF25" i="12"/>
  <c r="AE25" i="12"/>
  <c r="AA25" i="12"/>
  <c r="AC25" i="12"/>
  <c r="AB25" i="12"/>
  <c r="AA32" i="12"/>
  <c r="Z32" i="12"/>
  <c r="V32" i="12"/>
  <c r="Y32" i="12" s="1"/>
  <c r="V10" i="12"/>
  <c r="Y10" i="12" s="1"/>
  <c r="AB26" i="12"/>
  <c r="AB29" i="12"/>
  <c r="AC38" i="12"/>
  <c r="AB38" i="12"/>
  <c r="AA38" i="12"/>
  <c r="Z38" i="12"/>
  <c r="AC10" i="12"/>
  <c r="AC32" i="12"/>
  <c r="AE44" i="12"/>
  <c r="AA44" i="12"/>
  <c r="AC44" i="12"/>
  <c r="AB44" i="12"/>
  <c r="Z44" i="12"/>
  <c r="AA11" i="12"/>
  <c r="AF29" i="12"/>
  <c r="AF47" i="12"/>
  <c r="AE47" i="12"/>
  <c r="AC47" i="12"/>
  <c r="AB47" i="12"/>
  <c r="AA47" i="12"/>
  <c r="AB11" i="12"/>
  <c r="AA19" i="12"/>
  <c r="AC19" i="12"/>
  <c r="AB19" i="12"/>
  <c r="Z19" i="12"/>
  <c r="AF32" i="12"/>
  <c r="AA36" i="12"/>
  <c r="V38" i="12"/>
  <c r="Y38" i="12" s="1"/>
  <c r="Z39" i="12"/>
  <c r="AE28" i="12"/>
  <c r="AA28" i="12"/>
  <c r="AB28" i="12"/>
  <c r="Z28" i="12"/>
  <c r="AC28" i="12"/>
  <c r="AA10" i="12"/>
  <c r="Z10" i="12"/>
  <c r="AA26" i="12"/>
  <c r="Z26" i="12"/>
  <c r="V26" i="12"/>
  <c r="Y26" i="12" s="1"/>
  <c r="AF31" i="12"/>
  <c r="AE31" i="12"/>
  <c r="AA31" i="12"/>
  <c r="AC31" i="12"/>
  <c r="AB31" i="12"/>
  <c r="AB35" i="12"/>
  <c r="AA35" i="12"/>
  <c r="Z35" i="12"/>
  <c r="AB13" i="12"/>
  <c r="AA13" i="12"/>
  <c r="Z13" i="12"/>
  <c r="V28" i="12"/>
  <c r="Y28" i="12" s="1"/>
  <c r="AA29" i="12"/>
  <c r="V25" i="12"/>
  <c r="Y25" i="12" s="1"/>
  <c r="AC26" i="12"/>
  <c r="AB32" i="12"/>
  <c r="Z45" i="12"/>
  <c r="V45" i="12"/>
  <c r="Y45" i="12" s="1"/>
  <c r="Z11" i="12"/>
  <c r="V35" i="12"/>
  <c r="Y35" i="12" s="1"/>
  <c r="Z25" i="12"/>
  <c r="AE32" i="12"/>
  <c r="AC35" i="12"/>
  <c r="Z36" i="12"/>
  <c r="AA56" i="12"/>
  <c r="Z56" i="12"/>
  <c r="V56" i="12"/>
  <c r="Y56" i="12" s="1"/>
  <c r="AF10" i="12"/>
  <c r="AE6" i="12"/>
  <c r="AA6" i="12"/>
  <c r="AC6" i="12"/>
  <c r="AC11" i="12"/>
  <c r="AC13" i="12"/>
  <c r="Z14" i="12"/>
  <c r="Y20" i="12"/>
  <c r="AE35" i="12"/>
  <c r="AB36" i="12"/>
  <c r="AA39" i="12"/>
  <c r="Z42" i="12"/>
  <c r="AB50" i="12"/>
  <c r="AA50" i="12"/>
  <c r="Z50" i="12"/>
  <c r="Z29" i="12"/>
  <c r="V29" i="12"/>
  <c r="Y29" i="12" s="1"/>
  <c r="AB10" i="12"/>
  <c r="V31" i="12"/>
  <c r="Y31" i="12" s="1"/>
  <c r="AC41" i="12"/>
  <c r="Z41" i="12"/>
  <c r="AB41" i="12"/>
  <c r="AA41" i="12"/>
  <c r="AC16" i="12"/>
  <c r="Z16" i="12"/>
  <c r="AB16" i="12"/>
  <c r="AA16" i="12"/>
  <c r="AE26" i="12"/>
  <c r="AE29" i="12"/>
  <c r="AF28" i="12"/>
  <c r="AA14" i="12"/>
  <c r="V16" i="12"/>
  <c r="Y16" i="12" s="1"/>
  <c r="AF35" i="12"/>
  <c r="AC36" i="12"/>
  <c r="AB39" i="12"/>
  <c r="AA42" i="12"/>
  <c r="V44" i="12"/>
  <c r="Y44" i="12" s="1"/>
  <c r="AA45" i="12"/>
  <c r="AE12" i="12"/>
  <c r="AE34" i="12"/>
  <c r="AE49" i="12"/>
  <c r="K8" i="11"/>
  <c r="Q17" i="11" l="1"/>
  <c r="J10" i="13"/>
  <c r="AH58" i="12"/>
  <c r="AO58" i="12" s="1"/>
  <c r="AG6" i="12"/>
  <c r="AH57" i="12"/>
  <c r="AO57" i="12" s="1"/>
  <c r="AG27" i="12"/>
  <c r="AV27" i="12" s="1"/>
  <c r="AG33" i="12"/>
  <c r="AH33" i="12" s="1"/>
  <c r="AO33" i="12" s="1"/>
  <c r="AG37" i="12"/>
  <c r="AV37" i="12" s="1"/>
  <c r="AG30" i="12"/>
  <c r="AH30" i="12" s="1"/>
  <c r="AO30" i="12" s="1"/>
  <c r="AV58" i="12"/>
  <c r="AG12" i="12"/>
  <c r="AH12" i="12" s="1"/>
  <c r="AO12" i="12" s="1"/>
  <c r="Y6" i="12"/>
  <c r="AG34" i="12"/>
  <c r="AH34" i="12" s="1"/>
  <c r="AO34" i="12" s="1"/>
  <c r="AG20" i="12"/>
  <c r="AH20" i="12" s="1"/>
  <c r="AO20" i="12" s="1"/>
  <c r="AG55" i="12"/>
  <c r="AG40" i="12"/>
  <c r="AG19" i="12"/>
  <c r="AH19" i="12" s="1"/>
  <c r="AO19" i="12" s="1"/>
  <c r="AG21" i="12"/>
  <c r="AG54" i="12"/>
  <c r="AG47" i="12"/>
  <c r="AG51" i="12"/>
  <c r="AV33" i="12"/>
  <c r="AG44" i="12"/>
  <c r="AG17" i="12"/>
  <c r="AG24" i="12"/>
  <c r="AG46" i="12"/>
  <c r="AG15" i="12"/>
  <c r="AH15" i="12" s="1"/>
  <c r="AO15" i="12" s="1"/>
  <c r="AG8" i="12"/>
  <c r="AG52" i="12"/>
  <c r="AG38" i="12"/>
  <c r="AG42" i="12"/>
  <c r="AG56" i="12"/>
  <c r="AG14" i="12"/>
  <c r="AG31" i="12"/>
  <c r="AG43" i="12"/>
  <c r="AG48" i="12"/>
  <c r="AG49" i="12"/>
  <c r="AG10" i="12"/>
  <c r="AG13" i="12"/>
  <c r="AG36" i="12"/>
  <c r="AG18" i="12"/>
  <c r="P8" i="11"/>
  <c r="Q8" i="11" s="1"/>
  <c r="AG28" i="12"/>
  <c r="AG16" i="12"/>
  <c r="AG25" i="12"/>
  <c r="AG35" i="12"/>
  <c r="AG23" i="12"/>
  <c r="AG39" i="12"/>
  <c r="AG9" i="12"/>
  <c r="AG41" i="12"/>
  <c r="AG11" i="12"/>
  <c r="AG32" i="12"/>
  <c r="AG45" i="12"/>
  <c r="AG7" i="12"/>
  <c r="AG29" i="12"/>
  <c r="AG53" i="12"/>
  <c r="AG26" i="12"/>
  <c r="AG50" i="12"/>
  <c r="AG22" i="12"/>
  <c r="J12" i="13" l="1"/>
  <c r="J11" i="13"/>
  <c r="N17" i="14"/>
  <c r="AH37" i="12"/>
  <c r="AO37" i="12" s="1"/>
  <c r="AV12" i="12"/>
  <c r="AV34" i="12"/>
  <c r="AV30" i="12"/>
  <c r="AV15" i="12"/>
  <c r="AH27" i="12"/>
  <c r="AO27" i="12" s="1"/>
  <c r="AV19" i="12"/>
  <c r="AV41" i="12"/>
  <c r="AH41" i="12"/>
  <c r="AO41" i="12" s="1"/>
  <c r="AV9" i="12"/>
  <c r="AH9" i="12"/>
  <c r="AO9" i="12" s="1"/>
  <c r="AV39" i="12"/>
  <c r="AH39" i="12"/>
  <c r="AO39" i="12" s="1"/>
  <c r="AV40" i="12"/>
  <c r="AH40" i="12"/>
  <c r="AO40" i="12" s="1"/>
  <c r="AH6" i="12"/>
  <c r="AO6" i="12" s="1"/>
  <c r="AV52" i="12"/>
  <c r="AH52" i="12"/>
  <c r="AO52" i="12" s="1"/>
  <c r="AV6" i="12"/>
  <c r="AV26" i="12"/>
  <c r="AH26" i="12"/>
  <c r="AO26" i="12" s="1"/>
  <c r="AV53" i="12"/>
  <c r="AH53" i="12"/>
  <c r="AO53" i="12" s="1"/>
  <c r="AV31" i="12"/>
  <c r="AH31" i="12"/>
  <c r="AO31" i="12" s="1"/>
  <c r="AV46" i="12"/>
  <c r="AH46" i="12"/>
  <c r="AO46" i="12" s="1"/>
  <c r="AV47" i="12"/>
  <c r="AH47" i="12"/>
  <c r="AO47" i="12" s="1"/>
  <c r="AV22" i="12"/>
  <c r="AH22" i="12"/>
  <c r="AO22" i="12" s="1"/>
  <c r="AV54" i="12"/>
  <c r="AH54" i="12"/>
  <c r="AO54" i="12" s="1"/>
  <c r="AV23" i="12"/>
  <c r="AH23" i="12"/>
  <c r="AO23" i="12" s="1"/>
  <c r="AV55" i="12"/>
  <c r="AH55" i="12"/>
  <c r="AO55" i="12" s="1"/>
  <c r="AV14" i="12"/>
  <c r="AH14" i="12"/>
  <c r="AO14" i="12" s="1"/>
  <c r="AV20" i="12"/>
  <c r="AV17" i="12"/>
  <c r="AH17" i="12"/>
  <c r="AO17" i="12" s="1"/>
  <c r="AV10" i="12"/>
  <c r="AH10" i="12"/>
  <c r="AO10" i="12" s="1"/>
  <c r="AV50" i="12"/>
  <c r="AH50" i="12"/>
  <c r="AO50" i="12" s="1"/>
  <c r="AV8" i="12"/>
  <c r="AH8" i="12"/>
  <c r="AO8" i="12" s="1"/>
  <c r="AV43" i="12"/>
  <c r="AH43" i="12"/>
  <c r="AO43" i="12" s="1"/>
  <c r="AV24" i="12"/>
  <c r="AH24" i="12"/>
  <c r="AO24" i="12" s="1"/>
  <c r="AV56" i="12"/>
  <c r="AH56" i="12"/>
  <c r="AO56" i="12" s="1"/>
  <c r="AV44" i="12"/>
  <c r="AH44" i="12"/>
  <c r="AO44" i="12" s="1"/>
  <c r="AV13" i="12"/>
  <c r="AH13" i="12"/>
  <c r="AO13" i="12" s="1"/>
  <c r="AV21" i="12"/>
  <c r="AH21" i="12"/>
  <c r="AO21" i="12" s="1"/>
  <c r="AV48" i="12"/>
  <c r="AH48" i="12"/>
  <c r="AO48" i="12" s="1"/>
  <c r="AV25" i="12"/>
  <c r="AH25" i="12"/>
  <c r="AO25" i="12" s="1"/>
  <c r="AV16" i="12"/>
  <c r="AH16" i="12"/>
  <c r="AO16" i="12" s="1"/>
  <c r="AV32" i="12"/>
  <c r="AH32" i="12"/>
  <c r="AO32" i="12" s="1"/>
  <c r="AV18" i="12"/>
  <c r="AH18" i="12"/>
  <c r="AO18" i="12" s="1"/>
  <c r="AV42" i="12"/>
  <c r="AH42" i="12"/>
  <c r="AO42" i="12" s="1"/>
  <c r="AV49" i="12"/>
  <c r="AH49" i="12"/>
  <c r="AO49" i="12" s="1"/>
  <c r="AV35" i="12"/>
  <c r="AH35" i="12"/>
  <c r="AO35" i="12" s="1"/>
  <c r="AV29" i="12"/>
  <c r="AH29" i="12"/>
  <c r="AO29" i="12" s="1"/>
  <c r="AV7" i="12"/>
  <c r="AH7" i="12"/>
  <c r="AO7" i="12" s="1"/>
  <c r="AV28" i="12"/>
  <c r="AH28" i="12"/>
  <c r="AO28" i="12" s="1"/>
  <c r="AV45" i="12"/>
  <c r="AH45" i="12"/>
  <c r="AO45" i="12" s="1"/>
  <c r="AV11" i="12"/>
  <c r="AH11" i="12"/>
  <c r="AO11" i="12" s="1"/>
  <c r="AV36" i="12"/>
  <c r="AH36" i="12"/>
  <c r="AO36" i="12" s="1"/>
  <c r="AV38" i="12"/>
  <c r="AH38" i="12"/>
  <c r="AO38" i="12" s="1"/>
  <c r="AV51" i="12"/>
  <c r="AH51" i="12"/>
  <c r="AO51" i="12" s="1"/>
  <c r="U19" i="11" l="1"/>
  <c r="U20" i="11" s="1"/>
  <c r="BL26" i="10"/>
  <c r="BK26" i="10"/>
  <c r="BJ26" i="10"/>
  <c r="BI26" i="10"/>
  <c r="BL25" i="10"/>
  <c r="BK25" i="10"/>
  <c r="BJ25" i="10"/>
  <c r="BI25" i="10"/>
  <c r="BL24" i="10"/>
  <c r="BK24" i="10"/>
  <c r="BJ24" i="10"/>
  <c r="BI24" i="10"/>
  <c r="BL23" i="10"/>
  <c r="BK23" i="10"/>
  <c r="BJ23" i="10"/>
  <c r="BI23" i="10"/>
  <c r="BL22" i="10"/>
  <c r="BK22" i="10"/>
  <c r="BJ22" i="10"/>
  <c r="BI22" i="10"/>
  <c r="BL21" i="10"/>
  <c r="BK21" i="10"/>
  <c r="BJ21" i="10"/>
  <c r="BI21" i="10"/>
  <c r="BL20" i="10"/>
  <c r="BK20" i="10"/>
  <c r="BJ20" i="10"/>
  <c r="BI20" i="10"/>
  <c r="BL19" i="10"/>
  <c r="BK19" i="10"/>
  <c r="BJ19" i="10"/>
  <c r="BI19" i="10"/>
  <c r="BL18" i="10"/>
  <c r="BK18" i="10"/>
  <c r="BJ18" i="10"/>
  <c r="BI18" i="10"/>
  <c r="BL17" i="10"/>
  <c r="BK17" i="10"/>
  <c r="BJ17" i="10"/>
  <c r="BI17" i="10"/>
  <c r="BL16" i="10"/>
  <c r="BK16" i="10"/>
  <c r="BJ16" i="10"/>
  <c r="BI16" i="10"/>
  <c r="BL15" i="10"/>
  <c r="BK15" i="10"/>
  <c r="BJ15" i="10"/>
  <c r="BI15" i="10"/>
  <c r="BL14" i="10"/>
  <c r="BK14" i="10"/>
  <c r="BJ14" i="10"/>
  <c r="BI14" i="10"/>
  <c r="BN14" i="10" s="1"/>
  <c r="BL13" i="10"/>
  <c r="BK13" i="10"/>
  <c r="BJ13" i="10"/>
  <c r="BI13" i="10"/>
  <c r="BN13" i="10" s="1"/>
  <c r="BL12" i="10"/>
  <c r="BK12" i="10"/>
  <c r="BJ12" i="10"/>
  <c r="BI12" i="10"/>
  <c r="BN12" i="10" s="1"/>
  <c r="BL11" i="10"/>
  <c r="BK11" i="10"/>
  <c r="BJ11" i="10"/>
  <c r="BI11" i="10"/>
  <c r="BL10" i="10"/>
  <c r="BK10" i="10"/>
  <c r="BJ10" i="10"/>
  <c r="BI10" i="10"/>
  <c r="BN10" i="10" s="1"/>
  <c r="BL9" i="10"/>
  <c r="BK9" i="10"/>
  <c r="BJ9" i="10"/>
  <c r="BI9" i="10"/>
  <c r="BL8" i="10"/>
  <c r="BK8" i="10"/>
  <c r="BJ8" i="10"/>
  <c r="BI8" i="10"/>
  <c r="BN8" i="10" s="1"/>
  <c r="BL7" i="10"/>
  <c r="BK7" i="10"/>
  <c r="BJ7" i="10"/>
  <c r="BI7" i="10"/>
  <c r="BL6" i="10"/>
  <c r="BK6" i="10"/>
  <c r="BJ6" i="10"/>
  <c r="BI6" i="10"/>
  <c r="BL5" i="10"/>
  <c r="BK5" i="10"/>
  <c r="BJ5" i="10"/>
  <c r="BI5" i="10"/>
  <c r="BN5" i="10" s="1"/>
  <c r="BL4" i="10"/>
  <c r="BK4" i="10"/>
  <c r="BJ4" i="10"/>
  <c r="BI4" i="10"/>
  <c r="BN4" i="10" s="1"/>
  <c r="BN9" i="10" l="1"/>
  <c r="BN6" i="10"/>
  <c r="BN27" i="10" s="1"/>
  <c r="N15" i="9" s="1"/>
  <c r="BN7" i="10"/>
  <c r="BN11" i="10"/>
  <c r="BN15" i="10"/>
  <c r="E13" i="9"/>
  <c r="H12" i="9"/>
  <c r="L12" i="9" s="1"/>
  <c r="N12" i="9" s="1"/>
  <c r="F12" i="9"/>
  <c r="H11" i="9"/>
  <c r="L11" i="9" s="1"/>
  <c r="N11" i="9" s="1"/>
  <c r="F11" i="9"/>
  <c r="H10" i="9"/>
  <c r="L10" i="9" s="1"/>
  <c r="N10" i="9" s="1"/>
  <c r="F10" i="9"/>
  <c r="H9" i="9"/>
  <c r="L9" i="9" s="1"/>
  <c r="N9" i="9" s="1"/>
  <c r="F9" i="9"/>
  <c r="H8" i="9"/>
  <c r="H13" i="9" s="1"/>
  <c r="L13" i="9" s="1"/>
  <c r="F8" i="9"/>
  <c r="L8" i="9" l="1"/>
  <c r="N8" i="9" s="1"/>
  <c r="N13" i="9" s="1"/>
  <c r="AC45" i="3" l="1"/>
  <c r="W58" i="3" l="1"/>
  <c r="M15" i="3"/>
  <c r="M23" i="3"/>
  <c r="M16" i="3"/>
  <c r="M10" i="3"/>
  <c r="W59" i="3" l="1"/>
  <c r="U58" i="3"/>
  <c r="V58" i="3"/>
  <c r="Y58" i="3"/>
  <c r="Z58" i="3"/>
  <c r="AA58" i="3"/>
  <c r="AB58" i="3"/>
  <c r="AC58" i="3"/>
  <c r="AD58" i="3"/>
  <c r="AE58" i="3"/>
  <c r="M58" i="3"/>
  <c r="M59" i="3"/>
  <c r="AK58" i="1"/>
  <c r="AL58" i="1"/>
  <c r="AM58" i="1"/>
  <c r="AN58" i="1" l="1"/>
  <c r="X58" i="3"/>
  <c r="AF58" i="3"/>
  <c r="U59" i="3"/>
  <c r="AG59" i="3"/>
  <c r="AK59" i="3" s="1"/>
  <c r="AA59" i="3"/>
  <c r="AB59" i="3"/>
  <c r="AC59" i="3"/>
  <c r="AD59" i="3"/>
  <c r="AE59" i="3"/>
  <c r="Y59" i="3"/>
  <c r="Z59" i="3"/>
  <c r="V59" i="3"/>
  <c r="M60" i="3"/>
  <c r="AL58" i="3" l="1"/>
  <c r="X59" i="3"/>
  <c r="AF59" i="3"/>
  <c r="M6" i="3"/>
  <c r="AL59" i="3" l="1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4" i="2"/>
  <c r="AU5" i="2" l="1"/>
  <c r="AA6" i="3" l="1"/>
  <c r="N61" i="3"/>
  <c r="AG60" i="3" l="1"/>
  <c r="AK60" i="3" s="1"/>
  <c r="AG61" i="3"/>
  <c r="AK61" i="3" s="1"/>
  <c r="AG62" i="3"/>
  <c r="AK62" i="3" s="1"/>
  <c r="AC60" i="3"/>
  <c r="AC61" i="3"/>
  <c r="AA60" i="3"/>
  <c r="AB60" i="3"/>
  <c r="AD60" i="3"/>
  <c r="AE60" i="3"/>
  <c r="AA61" i="3"/>
  <c r="AB61" i="3"/>
  <c r="AD61" i="3"/>
  <c r="AE61" i="3"/>
  <c r="AA62" i="3"/>
  <c r="AB62" i="3"/>
  <c r="AC62" i="3"/>
  <c r="AD62" i="3"/>
  <c r="AE62" i="3"/>
  <c r="W60" i="3"/>
  <c r="Y60" i="3"/>
  <c r="Z60" i="3"/>
  <c r="W61" i="3"/>
  <c r="Y61" i="3"/>
  <c r="Z61" i="3"/>
  <c r="W62" i="3"/>
  <c r="Y62" i="3"/>
  <c r="Z62" i="3"/>
  <c r="U60" i="3"/>
  <c r="V60" i="3"/>
  <c r="U61" i="3"/>
  <c r="V61" i="3"/>
  <c r="U62" i="3"/>
  <c r="V62" i="3"/>
  <c r="M62" i="3"/>
  <c r="M57" i="3"/>
  <c r="AF61" i="3" l="1"/>
  <c r="X62" i="3"/>
  <c r="X61" i="3"/>
  <c r="AF62" i="3"/>
  <c r="X60" i="3"/>
  <c r="AF60" i="3"/>
  <c r="AL61" i="3" l="1"/>
  <c r="AL60" i="3"/>
  <c r="AL62" i="3"/>
  <c r="AC15" i="3" l="1"/>
  <c r="AC44" i="3"/>
  <c r="V28" i="3"/>
  <c r="AM6" i="1"/>
  <c r="M44" i="3"/>
  <c r="AC57" i="3"/>
  <c r="S57" i="3"/>
  <c r="AG57" i="3" s="1"/>
  <c r="AK57" i="3" s="1"/>
  <c r="AC56" i="3"/>
  <c r="M56" i="3"/>
  <c r="AC55" i="3"/>
  <c r="M55" i="3"/>
  <c r="AC54" i="3"/>
  <c r="M54" i="3"/>
  <c r="AC53" i="3"/>
  <c r="M53" i="3"/>
  <c r="AC52" i="3"/>
  <c r="M52" i="3"/>
  <c r="AC51" i="3"/>
  <c r="M51" i="3"/>
  <c r="AC50" i="3"/>
  <c r="M50" i="3"/>
  <c r="AC49" i="3"/>
  <c r="M49" i="3"/>
  <c r="AC48" i="3"/>
  <c r="M48" i="3"/>
  <c r="AC47" i="3"/>
  <c r="M47" i="3"/>
  <c r="AC46" i="3"/>
  <c r="M46" i="3"/>
  <c r="M45" i="3"/>
  <c r="AC43" i="3"/>
  <c r="M43" i="3"/>
  <c r="AC42" i="3"/>
  <c r="M42" i="3"/>
  <c r="AC41" i="3"/>
  <c r="M41" i="3"/>
  <c r="AC40" i="3"/>
  <c r="M40" i="3"/>
  <c r="AC39" i="3"/>
  <c r="M39" i="3"/>
  <c r="AC38" i="3"/>
  <c r="M38" i="3"/>
  <c r="AC37" i="3"/>
  <c r="M37" i="3"/>
  <c r="AC36" i="3"/>
  <c r="M36" i="3"/>
  <c r="AC35" i="3"/>
  <c r="M35" i="3"/>
  <c r="AC34" i="3"/>
  <c r="M34" i="3"/>
  <c r="AC33" i="3"/>
  <c r="M33" i="3"/>
  <c r="AC32" i="3"/>
  <c r="M32" i="3"/>
  <c r="AC31" i="3"/>
  <c r="M31" i="3"/>
  <c r="AC30" i="3"/>
  <c r="M30" i="3"/>
  <c r="AC29" i="3"/>
  <c r="M29" i="3"/>
  <c r="AC28" i="3"/>
  <c r="M28" i="3"/>
  <c r="AC27" i="3"/>
  <c r="M27" i="3"/>
  <c r="AC26" i="3"/>
  <c r="M26" i="3"/>
  <c r="AC25" i="3"/>
  <c r="M25" i="3"/>
  <c r="AC24" i="3"/>
  <c r="M24" i="3"/>
  <c r="AC23" i="3"/>
  <c r="AC22" i="3"/>
  <c r="M22" i="3"/>
  <c r="AC21" i="3"/>
  <c r="M21" i="3"/>
  <c r="AC20" i="3"/>
  <c r="M20" i="3"/>
  <c r="AC19" i="3"/>
  <c r="M19" i="3"/>
  <c r="AC18" i="3"/>
  <c r="M18" i="3"/>
  <c r="AC17" i="3"/>
  <c r="M17" i="3"/>
  <c r="AC16" i="3"/>
  <c r="AC14" i="3"/>
  <c r="M14" i="3"/>
  <c r="AC13" i="3"/>
  <c r="M13" i="3"/>
  <c r="AC12" i="3"/>
  <c r="M12" i="3"/>
  <c r="AC11" i="3"/>
  <c r="M11" i="3"/>
  <c r="AC10" i="3"/>
  <c r="AC9" i="3"/>
  <c r="M9" i="3"/>
  <c r="AC8" i="3"/>
  <c r="M8" i="3"/>
  <c r="AC7" i="3"/>
  <c r="M7" i="3"/>
  <c r="AC6" i="3"/>
  <c r="S56" i="3" l="1"/>
  <c r="AG56" i="3" s="1"/>
  <c r="AK56" i="3" s="1"/>
  <c r="S49" i="3"/>
  <c r="AG49" i="3" s="1"/>
  <c r="AK49" i="3" s="1"/>
  <c r="S53" i="3"/>
  <c r="AG53" i="3" s="1"/>
  <c r="AK53" i="3" s="1"/>
  <c r="S45" i="3"/>
  <c r="AG45" i="3" s="1"/>
  <c r="AK45" i="3" s="1"/>
  <c r="S37" i="3"/>
  <c r="AG37" i="3" s="1"/>
  <c r="AK37" i="3" s="1"/>
  <c r="S51" i="3"/>
  <c r="AG51" i="3" s="1"/>
  <c r="AK51" i="3" s="1"/>
  <c r="S43" i="3"/>
  <c r="AG43" i="3" s="1"/>
  <c r="AK43" i="3" s="1"/>
  <c r="S35" i="3"/>
  <c r="AG35" i="3" s="1"/>
  <c r="AK35" i="3" s="1"/>
  <c r="S54" i="3"/>
  <c r="AG54" i="3" s="1"/>
  <c r="AK54" i="3" s="1"/>
  <c r="S46" i="3"/>
  <c r="AG46" i="3" s="1"/>
  <c r="AK46" i="3" s="1"/>
  <c r="S38" i="3"/>
  <c r="AG38" i="3" s="1"/>
  <c r="AK38" i="3" s="1"/>
  <c r="S30" i="3"/>
  <c r="AG30" i="3" s="1"/>
  <c r="AK30" i="3" s="1"/>
  <c r="S32" i="3"/>
  <c r="AG32" i="3" s="1"/>
  <c r="AK32" i="3" s="1"/>
  <c r="S47" i="3"/>
  <c r="AG47" i="3" s="1"/>
  <c r="AK47" i="3" s="1"/>
  <c r="S41" i="3"/>
  <c r="AG41" i="3" s="1"/>
  <c r="AK41" i="3" s="1"/>
  <c r="S33" i="3"/>
  <c r="AG33" i="3" s="1"/>
  <c r="AK33" i="3" s="1"/>
  <c r="S52" i="3"/>
  <c r="AG52" i="3" s="1"/>
  <c r="AK52" i="3" s="1"/>
  <c r="S44" i="3"/>
  <c r="AG44" i="3" s="1"/>
  <c r="AK44" i="3" s="1"/>
  <c r="S36" i="3"/>
  <c r="AG36" i="3" s="1"/>
  <c r="AK36" i="3" s="1"/>
  <c r="S40" i="3"/>
  <c r="AG40" i="3" s="1"/>
  <c r="AK40" i="3" s="1"/>
  <c r="S55" i="3"/>
  <c r="AG55" i="3" s="1"/>
  <c r="AK55" i="3" s="1"/>
  <c r="S48" i="3"/>
  <c r="AG48" i="3" s="1"/>
  <c r="AK48" i="3" s="1"/>
  <c r="S39" i="3"/>
  <c r="AG39" i="3" s="1"/>
  <c r="AK39" i="3" s="1"/>
  <c r="S31" i="3"/>
  <c r="AG31" i="3" s="1"/>
  <c r="AK31" i="3" s="1"/>
  <c r="S50" i="3"/>
  <c r="AG50" i="3" s="1"/>
  <c r="AK50" i="3" s="1"/>
  <c r="S42" i="3"/>
  <c r="AG42" i="3" s="1"/>
  <c r="AK42" i="3" s="1"/>
  <c r="S34" i="3"/>
  <c r="AG34" i="3" s="1"/>
  <c r="AK34" i="3" s="1"/>
  <c r="S9" i="3" l="1"/>
  <c r="AG9" i="3" s="1"/>
  <c r="AK9" i="3" s="1"/>
  <c r="S17" i="3"/>
  <c r="AG17" i="3" s="1"/>
  <c r="AK17" i="3" s="1"/>
  <c r="S25" i="3"/>
  <c r="AG25" i="3" s="1"/>
  <c r="AK25" i="3" s="1"/>
  <c r="S18" i="3"/>
  <c r="AG18" i="3" s="1"/>
  <c r="AK18" i="3" s="1"/>
  <c r="S11" i="3"/>
  <c r="AG11" i="3" s="1"/>
  <c r="AK11" i="3" s="1"/>
  <c r="S19" i="3"/>
  <c r="AG19" i="3" s="1"/>
  <c r="AK19" i="3" s="1"/>
  <c r="S27" i="3"/>
  <c r="AG27" i="3" s="1"/>
  <c r="AK27" i="3" s="1"/>
  <c r="S26" i="3"/>
  <c r="AG26" i="3" s="1"/>
  <c r="AK26" i="3" s="1"/>
  <c r="S12" i="3"/>
  <c r="AG12" i="3" s="1"/>
  <c r="AK12" i="3" s="1"/>
  <c r="S20" i="3"/>
  <c r="AG20" i="3" s="1"/>
  <c r="AK20" i="3" s="1"/>
  <c r="S28" i="3"/>
  <c r="AG28" i="3" s="1"/>
  <c r="AK28" i="3" s="1"/>
  <c r="S13" i="3"/>
  <c r="AG13" i="3" s="1"/>
  <c r="AK13" i="3" s="1"/>
  <c r="S21" i="3"/>
  <c r="AG21" i="3" s="1"/>
  <c r="AK21" i="3" s="1"/>
  <c r="S29" i="3"/>
  <c r="AG29" i="3" s="1"/>
  <c r="AK29" i="3" s="1"/>
  <c r="S6" i="3"/>
  <c r="AG6" i="3" s="1"/>
  <c r="AK6" i="3" s="1"/>
  <c r="S14" i="3"/>
  <c r="AG14" i="3" s="1"/>
  <c r="AK14" i="3" s="1"/>
  <c r="S22" i="3"/>
  <c r="S7" i="3"/>
  <c r="S15" i="3"/>
  <c r="AG15" i="3" s="1"/>
  <c r="AK15" i="3" s="1"/>
  <c r="S23" i="3"/>
  <c r="AG23" i="3" s="1"/>
  <c r="AK23" i="3" s="1"/>
  <c r="S10" i="3"/>
  <c r="AG10" i="3" s="1"/>
  <c r="AK10" i="3" s="1"/>
  <c r="S8" i="3"/>
  <c r="AG8" i="3" s="1"/>
  <c r="AK8" i="3" s="1"/>
  <c r="S16" i="3"/>
  <c r="AG16" i="3" s="1"/>
  <c r="AK16" i="3" s="1"/>
  <c r="S24" i="3"/>
  <c r="AG24" i="3" s="1"/>
  <c r="AK24" i="3" s="1"/>
  <c r="AG7" i="3" l="1"/>
  <c r="AK7" i="3" s="1"/>
  <c r="AG22" i="3"/>
  <c r="AK22" i="3" s="1"/>
  <c r="AK7" i="1" l="1"/>
  <c r="AV5" i="2"/>
  <c r="AL7" i="1" s="1"/>
  <c r="AU6" i="2"/>
  <c r="AK8" i="1" s="1"/>
  <c r="AV6" i="2"/>
  <c r="AL8" i="1" s="1"/>
  <c r="AU7" i="2"/>
  <c r="AK9" i="1" s="1"/>
  <c r="AV7" i="2"/>
  <c r="AL9" i="1" s="1"/>
  <c r="AU8" i="2"/>
  <c r="AK10" i="1" s="1"/>
  <c r="AV8" i="2"/>
  <c r="AL10" i="1" s="1"/>
  <c r="AU9" i="2"/>
  <c r="AK11" i="1" s="1"/>
  <c r="AV9" i="2"/>
  <c r="AL11" i="1" s="1"/>
  <c r="AU10" i="2"/>
  <c r="AK12" i="1" s="1"/>
  <c r="AV10" i="2"/>
  <c r="AL12" i="1" s="1"/>
  <c r="AU11" i="2"/>
  <c r="AK13" i="1" s="1"/>
  <c r="AV11" i="2"/>
  <c r="AL13" i="1" s="1"/>
  <c r="AU12" i="2"/>
  <c r="AK14" i="1" s="1"/>
  <c r="AV12" i="2"/>
  <c r="AL14" i="1" s="1"/>
  <c r="AU13" i="2"/>
  <c r="AK15" i="1" s="1"/>
  <c r="AV13" i="2"/>
  <c r="AL15" i="1" s="1"/>
  <c r="AU14" i="2"/>
  <c r="AK16" i="1" s="1"/>
  <c r="AV14" i="2"/>
  <c r="AL16" i="1" s="1"/>
  <c r="AU15" i="2"/>
  <c r="AK17" i="1" s="1"/>
  <c r="AV15" i="2"/>
  <c r="AL17" i="1" s="1"/>
  <c r="AU16" i="2"/>
  <c r="AK18" i="1" s="1"/>
  <c r="AV16" i="2"/>
  <c r="AL18" i="1" s="1"/>
  <c r="AU17" i="2"/>
  <c r="AK19" i="1" s="1"/>
  <c r="AV17" i="2"/>
  <c r="AL19" i="1" s="1"/>
  <c r="AU18" i="2"/>
  <c r="AK20" i="1" s="1"/>
  <c r="AV18" i="2"/>
  <c r="AL20" i="1" s="1"/>
  <c r="AU19" i="2"/>
  <c r="AK21" i="1" s="1"/>
  <c r="AV19" i="2"/>
  <c r="AL21" i="1" s="1"/>
  <c r="AU20" i="2"/>
  <c r="AK22" i="1" s="1"/>
  <c r="AV20" i="2"/>
  <c r="AL22" i="1" s="1"/>
  <c r="AU21" i="2"/>
  <c r="AK23" i="1" s="1"/>
  <c r="AV21" i="2"/>
  <c r="AL23" i="1" s="1"/>
  <c r="AU22" i="2"/>
  <c r="AK24" i="1" s="1"/>
  <c r="AV22" i="2"/>
  <c r="AL24" i="1" s="1"/>
  <c r="AU23" i="2"/>
  <c r="AK25" i="1" s="1"/>
  <c r="AV23" i="2"/>
  <c r="AL25" i="1" s="1"/>
  <c r="AU24" i="2"/>
  <c r="AK26" i="1" s="1"/>
  <c r="AV24" i="2"/>
  <c r="AL26" i="1" s="1"/>
  <c r="AU25" i="2"/>
  <c r="AK27" i="1" s="1"/>
  <c r="AV25" i="2"/>
  <c r="AL27" i="1" s="1"/>
  <c r="AU26" i="2"/>
  <c r="AV26" i="2"/>
  <c r="AU27" i="2"/>
  <c r="AK29" i="1" s="1"/>
  <c r="AV27" i="2"/>
  <c r="AL29" i="1" s="1"/>
  <c r="AU28" i="2"/>
  <c r="AK30" i="1" s="1"/>
  <c r="AV28" i="2"/>
  <c r="AL30" i="1" s="1"/>
  <c r="AU29" i="2"/>
  <c r="AK31" i="1" s="1"/>
  <c r="AV29" i="2"/>
  <c r="AL31" i="1" s="1"/>
  <c r="AU30" i="2"/>
  <c r="AK32" i="1" s="1"/>
  <c r="AV30" i="2"/>
  <c r="AL32" i="1" s="1"/>
  <c r="AU31" i="2"/>
  <c r="AK33" i="1" s="1"/>
  <c r="AV31" i="2"/>
  <c r="AL33" i="1" s="1"/>
  <c r="AU32" i="2"/>
  <c r="AK34" i="1" s="1"/>
  <c r="AV32" i="2"/>
  <c r="AL34" i="1" s="1"/>
  <c r="AU33" i="2"/>
  <c r="AK35" i="1" s="1"/>
  <c r="AV33" i="2"/>
  <c r="AL35" i="1" s="1"/>
  <c r="AU34" i="2"/>
  <c r="AK36" i="1" s="1"/>
  <c r="AV34" i="2"/>
  <c r="AL36" i="1" s="1"/>
  <c r="AU35" i="2"/>
  <c r="AK37" i="1" s="1"/>
  <c r="AV35" i="2"/>
  <c r="AL37" i="1" s="1"/>
  <c r="AU36" i="2"/>
  <c r="AK38" i="1" s="1"/>
  <c r="AV36" i="2"/>
  <c r="AL38" i="1" s="1"/>
  <c r="AU37" i="2"/>
  <c r="AK39" i="1" s="1"/>
  <c r="AV37" i="2"/>
  <c r="AL39" i="1" s="1"/>
  <c r="AU38" i="2"/>
  <c r="AK40" i="1" s="1"/>
  <c r="AV38" i="2"/>
  <c r="AL40" i="1" s="1"/>
  <c r="AU39" i="2"/>
  <c r="AK41" i="1" s="1"/>
  <c r="AV39" i="2"/>
  <c r="AL41" i="1" s="1"/>
  <c r="AU40" i="2"/>
  <c r="AK42" i="1" s="1"/>
  <c r="AV40" i="2"/>
  <c r="AL42" i="1" s="1"/>
  <c r="AU41" i="2"/>
  <c r="AK43" i="1" s="1"/>
  <c r="AV41" i="2"/>
  <c r="AL43" i="1" s="1"/>
  <c r="AU42" i="2"/>
  <c r="AK44" i="1" s="1"/>
  <c r="AV42" i="2"/>
  <c r="AL44" i="1" s="1"/>
  <c r="AU43" i="2"/>
  <c r="AK45" i="1" s="1"/>
  <c r="AV43" i="2"/>
  <c r="AL45" i="1" s="1"/>
  <c r="AU44" i="2"/>
  <c r="AK46" i="1" s="1"/>
  <c r="AV44" i="2"/>
  <c r="AL46" i="1" s="1"/>
  <c r="AU45" i="2"/>
  <c r="AK47" i="1" s="1"/>
  <c r="AV45" i="2"/>
  <c r="AL47" i="1" s="1"/>
  <c r="AU46" i="2"/>
  <c r="AK48" i="1" s="1"/>
  <c r="AV46" i="2"/>
  <c r="AL48" i="1" s="1"/>
  <c r="AU47" i="2"/>
  <c r="AK49" i="1" s="1"/>
  <c r="AV47" i="2"/>
  <c r="AL49" i="1" s="1"/>
  <c r="AU48" i="2"/>
  <c r="AK50" i="1" s="1"/>
  <c r="AV48" i="2"/>
  <c r="AL50" i="1" s="1"/>
  <c r="AU49" i="2"/>
  <c r="AK51" i="1" s="1"/>
  <c r="AV49" i="2"/>
  <c r="AL51" i="1" s="1"/>
  <c r="AU50" i="2"/>
  <c r="AK52" i="1" s="1"/>
  <c r="AV50" i="2"/>
  <c r="AL52" i="1" s="1"/>
  <c r="AU51" i="2"/>
  <c r="AK53" i="1" s="1"/>
  <c r="AV51" i="2"/>
  <c r="AL53" i="1" s="1"/>
  <c r="AU52" i="2"/>
  <c r="AK54" i="1" s="1"/>
  <c r="AV52" i="2"/>
  <c r="AL54" i="1" s="1"/>
  <c r="AU53" i="2"/>
  <c r="AK55" i="1" s="1"/>
  <c r="AV53" i="2"/>
  <c r="AL55" i="1" s="1"/>
  <c r="AU54" i="2"/>
  <c r="AK56" i="1" s="1"/>
  <c r="AV54" i="2"/>
  <c r="AL56" i="1" s="1"/>
  <c r="AU55" i="2"/>
  <c r="AK57" i="1" s="1"/>
  <c r="AV55" i="2"/>
  <c r="AL57" i="1" s="1"/>
  <c r="AV4" i="2"/>
  <c r="AL6" i="1" s="1"/>
  <c r="AU4" i="2"/>
  <c r="AK6" i="1" s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N9" i="1" l="1"/>
  <c r="AN22" i="1"/>
  <c r="O22" i="3" s="1"/>
  <c r="V22" i="3" s="1"/>
  <c r="AN14" i="1"/>
  <c r="O14" i="3"/>
  <c r="V14" i="3" s="1"/>
  <c r="AN54" i="1"/>
  <c r="AN50" i="1"/>
  <c r="AN46" i="1"/>
  <c r="AN38" i="1"/>
  <c r="AN30" i="1"/>
  <c r="AN7" i="1"/>
  <c r="AN6" i="1"/>
  <c r="O6" i="3" s="1"/>
  <c r="V6" i="3" s="1"/>
  <c r="AN34" i="1"/>
  <c r="AN18" i="1"/>
  <c r="AN57" i="1"/>
  <c r="O57" i="3" s="1"/>
  <c r="AN53" i="1"/>
  <c r="AN49" i="1"/>
  <c r="AN45" i="1"/>
  <c r="AN41" i="1"/>
  <c r="AN37" i="1"/>
  <c r="AN33" i="1"/>
  <c r="AN29" i="1"/>
  <c r="AN25" i="1"/>
  <c r="AN21" i="1"/>
  <c r="AN17" i="1"/>
  <c r="AN13" i="1"/>
  <c r="AN10" i="1"/>
  <c r="AN56" i="1"/>
  <c r="AN52" i="1"/>
  <c r="AN48" i="1"/>
  <c r="AN44" i="1"/>
  <c r="AN40" i="1"/>
  <c r="AN36" i="1"/>
  <c r="AN32" i="1"/>
  <c r="AN24" i="1"/>
  <c r="AN20" i="1"/>
  <c r="AN16" i="1"/>
  <c r="AN12" i="1"/>
  <c r="AN8" i="1"/>
  <c r="AN26" i="1"/>
  <c r="AN42" i="1"/>
  <c r="AN55" i="1"/>
  <c r="AN51" i="1"/>
  <c r="AN47" i="1"/>
  <c r="AN43" i="1"/>
  <c r="AN39" i="1"/>
  <c r="AN35" i="1"/>
  <c r="AN31" i="1"/>
  <c r="AN27" i="1"/>
  <c r="AN23" i="1"/>
  <c r="AN19" i="1"/>
  <c r="AN15" i="1"/>
  <c r="AN11" i="1"/>
  <c r="AP1" i="1"/>
  <c r="D3" i="1" s="1"/>
  <c r="O50" i="3" l="1"/>
  <c r="V50" i="3" s="1"/>
  <c r="O23" i="3"/>
  <c r="V23" i="3" s="1"/>
  <c r="O41" i="3"/>
  <c r="V41" i="3" s="1"/>
  <c r="O42" i="3"/>
  <c r="V42" i="3" s="1"/>
  <c r="O36" i="3"/>
  <c r="V36" i="3" s="1"/>
  <c r="O13" i="3"/>
  <c r="V13" i="3" s="1"/>
  <c r="O45" i="3"/>
  <c r="V45" i="3" s="1"/>
  <c r="O30" i="3"/>
  <c r="V30" i="3" s="1"/>
  <c r="O32" i="3"/>
  <c r="V32" i="3" s="1"/>
  <c r="O7" i="3"/>
  <c r="V7" i="3" s="1"/>
  <c r="O26" i="3"/>
  <c r="V26" i="3" s="1"/>
  <c r="O40" i="3"/>
  <c r="V40" i="3" s="1"/>
  <c r="O17" i="3"/>
  <c r="V17" i="3" s="1"/>
  <c r="O49" i="3"/>
  <c r="V49" i="3" s="1"/>
  <c r="O38" i="3"/>
  <c r="V38" i="3" s="1"/>
  <c r="O55" i="3"/>
  <c r="V55" i="3" s="1"/>
  <c r="O9" i="3"/>
  <c r="V9" i="3" s="1"/>
  <c r="O27" i="3"/>
  <c r="V27" i="3" s="1"/>
  <c r="O31" i="3"/>
  <c r="V31" i="3" s="1"/>
  <c r="O35" i="3"/>
  <c r="V35" i="3" s="1"/>
  <c r="O8" i="3"/>
  <c r="V8" i="3" s="1"/>
  <c r="O44" i="3"/>
  <c r="V44" i="3" s="1"/>
  <c r="O21" i="3"/>
  <c r="V21" i="3" s="1"/>
  <c r="O53" i="3"/>
  <c r="V53" i="3" s="1"/>
  <c r="O46" i="3"/>
  <c r="V46" i="3" s="1"/>
  <c r="O48" i="3"/>
  <c r="V48" i="3" s="1"/>
  <c r="V57" i="3"/>
  <c r="O11" i="3"/>
  <c r="V11" i="3" s="1"/>
  <c r="O43" i="3"/>
  <c r="V43" i="3" s="1"/>
  <c r="O16" i="3"/>
  <c r="V16" i="3" s="1"/>
  <c r="O52" i="3"/>
  <c r="V52" i="3" s="1"/>
  <c r="O29" i="3"/>
  <c r="V29" i="3" s="1"/>
  <c r="O18" i="3"/>
  <c r="V18" i="3" s="1"/>
  <c r="O54" i="3"/>
  <c r="V54" i="3" s="1"/>
  <c r="O12" i="3"/>
  <c r="V12" i="3" s="1"/>
  <c r="O15" i="3"/>
  <c r="V15" i="3" s="1"/>
  <c r="O20" i="3"/>
  <c r="V20" i="3" s="1"/>
  <c r="O33" i="3"/>
  <c r="V33" i="3" s="1"/>
  <c r="O39" i="3"/>
  <c r="V39" i="3" s="1"/>
  <c r="O25" i="3"/>
  <c r="V25" i="3" s="1"/>
  <c r="O47" i="3"/>
  <c r="V47" i="3" s="1"/>
  <c r="O56" i="3"/>
  <c r="V56" i="3" s="1"/>
  <c r="O34" i="3"/>
  <c r="V34" i="3" s="1"/>
  <c r="O19" i="3"/>
  <c r="V19" i="3" s="1"/>
  <c r="O51" i="3"/>
  <c r="V51" i="3" s="1"/>
  <c r="O24" i="3"/>
  <c r="V24" i="3" s="1"/>
  <c r="O10" i="3"/>
  <c r="V10" i="3" s="1"/>
  <c r="O37" i="3"/>
  <c r="V37" i="3" s="1"/>
  <c r="Y78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E3" i="1"/>
  <c r="F3" i="1" l="1"/>
  <c r="G3" i="1" l="1"/>
  <c r="H3" i="1" l="1"/>
  <c r="I3" i="1" l="1"/>
  <c r="J3" i="1" l="1"/>
  <c r="K3" i="1" l="1"/>
  <c r="L3" i="1" l="1"/>
  <c r="M3" i="1" l="1"/>
  <c r="N3" i="1" l="1"/>
  <c r="N58" i="1" l="1"/>
  <c r="N62" i="1"/>
  <c r="N63" i="1"/>
  <c r="N61" i="1"/>
  <c r="N60" i="1"/>
  <c r="N9" i="1"/>
  <c r="AJ9" i="1" s="1"/>
  <c r="Q9" i="3" s="1"/>
  <c r="N15" i="1"/>
  <c r="AJ15" i="1" s="1"/>
  <c r="Q15" i="3" s="1"/>
  <c r="N23" i="1"/>
  <c r="AJ23" i="1" s="1"/>
  <c r="Q23" i="3" s="1"/>
  <c r="N31" i="1"/>
  <c r="AJ31" i="1" s="1"/>
  <c r="Q31" i="3" s="1"/>
  <c r="N39" i="1"/>
  <c r="AJ39" i="1" s="1"/>
  <c r="Q39" i="3" s="1"/>
  <c r="N47" i="1"/>
  <c r="AJ47" i="1" s="1"/>
  <c r="Q47" i="3" s="1"/>
  <c r="N55" i="1"/>
  <c r="AJ55" i="1" s="1"/>
  <c r="Q55" i="3" s="1"/>
  <c r="N16" i="1"/>
  <c r="AJ16" i="1" s="1"/>
  <c r="Q16" i="3" s="1"/>
  <c r="N40" i="1"/>
  <c r="AJ40" i="1" s="1"/>
  <c r="Q40" i="3" s="1"/>
  <c r="N56" i="1"/>
  <c r="AJ56" i="1" s="1"/>
  <c r="Q56" i="3" s="1"/>
  <c r="N18" i="1"/>
  <c r="AJ18" i="1" s="1"/>
  <c r="Q18" i="3" s="1"/>
  <c r="N34" i="1"/>
  <c r="AJ34" i="1" s="1"/>
  <c r="Q34" i="3" s="1"/>
  <c r="N54" i="1"/>
  <c r="AJ54" i="1" s="1"/>
  <c r="Q54" i="3" s="1"/>
  <c r="N7" i="1"/>
  <c r="AJ7" i="1" s="1"/>
  <c r="Q7" i="3" s="1"/>
  <c r="N24" i="1"/>
  <c r="AJ24" i="1" s="1"/>
  <c r="Q24" i="3" s="1"/>
  <c r="N32" i="1"/>
  <c r="AJ32" i="1" s="1"/>
  <c r="Q32" i="3" s="1"/>
  <c r="N48" i="1"/>
  <c r="AJ48" i="1" s="1"/>
  <c r="Q48" i="3" s="1"/>
  <c r="N42" i="1"/>
  <c r="AJ42" i="1" s="1"/>
  <c r="Q42" i="3" s="1"/>
  <c r="N38" i="1"/>
  <c r="AJ38" i="1" s="1"/>
  <c r="Q38" i="3" s="1"/>
  <c r="N8" i="1"/>
  <c r="AJ8" i="1" s="1"/>
  <c r="Q8" i="3" s="1"/>
  <c r="N17" i="1"/>
  <c r="AJ17" i="1" s="1"/>
  <c r="Q17" i="3" s="1"/>
  <c r="N25" i="1"/>
  <c r="AJ25" i="1" s="1"/>
  <c r="Q25" i="3" s="1"/>
  <c r="N33" i="1"/>
  <c r="AJ33" i="1" s="1"/>
  <c r="Q33" i="3" s="1"/>
  <c r="N41" i="1"/>
  <c r="AJ41" i="1" s="1"/>
  <c r="Q41" i="3" s="1"/>
  <c r="N49" i="1"/>
  <c r="AJ49" i="1" s="1"/>
  <c r="Q49" i="3" s="1"/>
  <c r="N57" i="1"/>
  <c r="AJ57" i="1" s="1"/>
  <c r="Q57" i="3" s="1"/>
  <c r="N10" i="1"/>
  <c r="AJ10" i="1" s="1"/>
  <c r="Q10" i="3" s="1"/>
  <c r="N26" i="1"/>
  <c r="AJ26" i="1" s="1"/>
  <c r="Q26" i="3" s="1"/>
  <c r="N50" i="1"/>
  <c r="AJ50" i="1" s="1"/>
  <c r="Q50" i="3" s="1"/>
  <c r="N6" i="1"/>
  <c r="N46" i="1"/>
  <c r="AJ46" i="1" s="1"/>
  <c r="Q46" i="3" s="1"/>
  <c r="N11" i="1"/>
  <c r="AJ11" i="1" s="1"/>
  <c r="Q11" i="3" s="1"/>
  <c r="N19" i="1"/>
  <c r="AJ19" i="1" s="1"/>
  <c r="Q19" i="3" s="1"/>
  <c r="N27" i="1"/>
  <c r="AJ27" i="1" s="1"/>
  <c r="Q27" i="3" s="1"/>
  <c r="N35" i="1"/>
  <c r="AJ35" i="1" s="1"/>
  <c r="Q35" i="3" s="1"/>
  <c r="N43" i="1"/>
  <c r="AJ43" i="1" s="1"/>
  <c r="Q43" i="3" s="1"/>
  <c r="N51" i="1"/>
  <c r="AJ51" i="1" s="1"/>
  <c r="Q51" i="3" s="1"/>
  <c r="N20" i="1"/>
  <c r="AJ20" i="1" s="1"/>
  <c r="Q20" i="3" s="1"/>
  <c r="N36" i="1"/>
  <c r="AJ36" i="1" s="1"/>
  <c r="Q36" i="3" s="1"/>
  <c r="N44" i="1"/>
  <c r="AJ44" i="1" s="1"/>
  <c r="Q44" i="3" s="1"/>
  <c r="N53" i="1"/>
  <c r="AJ53" i="1" s="1"/>
  <c r="Q53" i="3" s="1"/>
  <c r="N30" i="1"/>
  <c r="AJ30" i="1" s="1"/>
  <c r="Q30" i="3" s="1"/>
  <c r="N12" i="1"/>
  <c r="AJ12" i="1" s="1"/>
  <c r="Q12" i="3" s="1"/>
  <c r="N28" i="1"/>
  <c r="AJ28" i="1" s="1"/>
  <c r="Q28" i="3" s="1"/>
  <c r="N52" i="1"/>
  <c r="AJ52" i="1" s="1"/>
  <c r="Q52" i="3" s="1"/>
  <c r="N22" i="1"/>
  <c r="AJ22" i="1" s="1"/>
  <c r="Q22" i="3" s="1"/>
  <c r="N13" i="1"/>
  <c r="AJ13" i="1" s="1"/>
  <c r="Q13" i="3" s="1"/>
  <c r="N21" i="1"/>
  <c r="AJ21" i="1" s="1"/>
  <c r="Q21" i="3" s="1"/>
  <c r="N29" i="1"/>
  <c r="AJ29" i="1" s="1"/>
  <c r="Q29" i="3" s="1"/>
  <c r="N37" i="1"/>
  <c r="AJ37" i="1" s="1"/>
  <c r="Q37" i="3" s="1"/>
  <c r="N45" i="1"/>
  <c r="AJ45" i="1" s="1"/>
  <c r="Q45" i="3" s="1"/>
  <c r="N14" i="1"/>
  <c r="AJ14" i="1" s="1"/>
  <c r="Q14" i="3" s="1"/>
  <c r="O3" i="1"/>
  <c r="AJ58" i="1" l="1"/>
  <c r="AJ60" i="1"/>
  <c r="AJ6" i="1"/>
  <c r="Q6" i="3" s="1"/>
  <c r="AJ61" i="1"/>
  <c r="AJ62" i="1"/>
  <c r="AJ63" i="1"/>
  <c r="P3" i="1"/>
  <c r="Q3" i="1" l="1"/>
  <c r="R3" i="1" l="1"/>
  <c r="S3" i="1" l="1"/>
  <c r="T3" i="1" l="1"/>
  <c r="U3" i="1" l="1"/>
  <c r="V3" i="1" l="1"/>
  <c r="W3" i="1" l="1"/>
  <c r="X3" i="1" l="1"/>
  <c r="Y3" i="1" l="1"/>
  <c r="Z3" i="1" l="1"/>
  <c r="AA3" i="1" l="1"/>
  <c r="AB3" i="1" l="1"/>
  <c r="AC3" i="1" l="1"/>
  <c r="AD3" i="1" l="1"/>
  <c r="AE3" i="1" l="1"/>
  <c r="AF3" i="1" l="1"/>
  <c r="AG3" i="1" l="1"/>
  <c r="AG58" i="1" s="1"/>
  <c r="AG60" i="1" l="1"/>
  <c r="AG59" i="1"/>
  <c r="AG63" i="1"/>
  <c r="AG61" i="1"/>
  <c r="AG62" i="1"/>
  <c r="AG12" i="1"/>
  <c r="AG20" i="1"/>
  <c r="AG10" i="1"/>
  <c r="AG18" i="1"/>
  <c r="AG26" i="1"/>
  <c r="AG8" i="1"/>
  <c r="AG16" i="1"/>
  <c r="AG24" i="1"/>
  <c r="AG7" i="1"/>
  <c r="AG15" i="1"/>
  <c r="AG23" i="1"/>
  <c r="AG14" i="1"/>
  <c r="AG22" i="1"/>
  <c r="AG11" i="1"/>
  <c r="AG31" i="1"/>
  <c r="AG39" i="1"/>
  <c r="AG9" i="1"/>
  <c r="AG30" i="1"/>
  <c r="AG38" i="1"/>
  <c r="AG29" i="1"/>
  <c r="AG37" i="1"/>
  <c r="AG19" i="1"/>
  <c r="AG34" i="1"/>
  <c r="AG25" i="1"/>
  <c r="AG36" i="1"/>
  <c r="AG43" i="1"/>
  <c r="AG21" i="1"/>
  <c r="AG35" i="1"/>
  <c r="AG42" i="1"/>
  <c r="AG17" i="1"/>
  <c r="AG33" i="1"/>
  <c r="AG41" i="1"/>
  <c r="AG27" i="1"/>
  <c r="AG40" i="1"/>
  <c r="AG46" i="1"/>
  <c r="AG32" i="1"/>
  <c r="AG44" i="1"/>
  <c r="AG47" i="1"/>
  <c r="AG55" i="1"/>
  <c r="AG28" i="1"/>
  <c r="AG50" i="1"/>
  <c r="AG54" i="1"/>
  <c r="AG53" i="1"/>
  <c r="AG56" i="1"/>
  <c r="AG57" i="1"/>
  <c r="AG48" i="1"/>
  <c r="AG52" i="1"/>
  <c r="AG13" i="1"/>
  <c r="AG51" i="1"/>
  <c r="AG49" i="1"/>
  <c r="AG45" i="1"/>
  <c r="AG6" i="1"/>
  <c r="AH3" i="1"/>
  <c r="AH58" i="1" s="1"/>
  <c r="AI58" i="1" s="1"/>
  <c r="AO58" i="1" l="1"/>
  <c r="AH61" i="1"/>
  <c r="AI61" i="1" s="1"/>
  <c r="AH60" i="1"/>
  <c r="AO60" i="1" s="1"/>
  <c r="AH59" i="1"/>
  <c r="AH63" i="1"/>
  <c r="AI63" i="1" s="1"/>
  <c r="AH62" i="1"/>
  <c r="AI62" i="1" s="1"/>
  <c r="AH13" i="1"/>
  <c r="AO13" i="1" s="1"/>
  <c r="P13" i="3" s="1"/>
  <c r="W13" i="3" s="1"/>
  <c r="AH21" i="1"/>
  <c r="AO21" i="1" s="1"/>
  <c r="P21" i="3" s="1"/>
  <c r="W21" i="3" s="1"/>
  <c r="AH11" i="1"/>
  <c r="AI11" i="1" s="1"/>
  <c r="N11" i="3" s="1"/>
  <c r="AH19" i="1"/>
  <c r="AI19" i="1" s="1"/>
  <c r="N19" i="3" s="1"/>
  <c r="AH9" i="1"/>
  <c r="AI9" i="1" s="1"/>
  <c r="N9" i="3" s="1"/>
  <c r="AH17" i="1"/>
  <c r="AI17" i="1" s="1"/>
  <c r="N17" i="3" s="1"/>
  <c r="AA17" i="3" s="1"/>
  <c r="AH25" i="1"/>
  <c r="AO25" i="1" s="1"/>
  <c r="P25" i="3" s="1"/>
  <c r="W25" i="3" s="1"/>
  <c r="AH8" i="1"/>
  <c r="AI8" i="1" s="1"/>
  <c r="N8" i="3" s="1"/>
  <c r="AH16" i="1"/>
  <c r="AI16" i="1" s="1"/>
  <c r="N16" i="3" s="1"/>
  <c r="AH24" i="1"/>
  <c r="AI24" i="1" s="1"/>
  <c r="N24" i="3" s="1"/>
  <c r="AH7" i="1"/>
  <c r="AO7" i="1" s="1"/>
  <c r="P7" i="3" s="1"/>
  <c r="W7" i="3" s="1"/>
  <c r="AH15" i="1"/>
  <c r="AI15" i="1" s="1"/>
  <c r="N15" i="3" s="1"/>
  <c r="AH23" i="1"/>
  <c r="AO23" i="1" s="1"/>
  <c r="P23" i="3" s="1"/>
  <c r="W23" i="3" s="1"/>
  <c r="AH22" i="1"/>
  <c r="AO22" i="1" s="1"/>
  <c r="P22" i="3" s="1"/>
  <c r="W22" i="3" s="1"/>
  <c r="AH32" i="1"/>
  <c r="AO32" i="1" s="1"/>
  <c r="P32" i="3" s="1"/>
  <c r="W32" i="3" s="1"/>
  <c r="AH40" i="1"/>
  <c r="AO40" i="1" s="1"/>
  <c r="P40" i="3" s="1"/>
  <c r="W40" i="3" s="1"/>
  <c r="AH20" i="1"/>
  <c r="AO20" i="1" s="1"/>
  <c r="P20" i="3" s="1"/>
  <c r="W20" i="3" s="1"/>
  <c r="AH31" i="1"/>
  <c r="AO31" i="1" s="1"/>
  <c r="P31" i="3" s="1"/>
  <c r="W31" i="3" s="1"/>
  <c r="AH39" i="1"/>
  <c r="AO39" i="1" s="1"/>
  <c r="P39" i="3" s="1"/>
  <c r="W39" i="3" s="1"/>
  <c r="AH18" i="1"/>
  <c r="AO18" i="1" s="1"/>
  <c r="P18" i="3" s="1"/>
  <c r="W18" i="3" s="1"/>
  <c r="AH30" i="1"/>
  <c r="AO30" i="1" s="1"/>
  <c r="P30" i="3" s="1"/>
  <c r="W30" i="3" s="1"/>
  <c r="AH38" i="1"/>
  <c r="AI38" i="1" s="1"/>
  <c r="N38" i="3" s="1"/>
  <c r="AH10" i="1"/>
  <c r="AI10" i="1" s="1"/>
  <c r="N10" i="3" s="1"/>
  <c r="AH27" i="1"/>
  <c r="AI27" i="1" s="1"/>
  <c r="N27" i="3" s="1"/>
  <c r="AH35" i="1"/>
  <c r="AI35" i="1" s="1"/>
  <c r="N35" i="3" s="1"/>
  <c r="AA35" i="3" s="1"/>
  <c r="AH14" i="1"/>
  <c r="AI14" i="1" s="1"/>
  <c r="N14" i="3" s="1"/>
  <c r="AH37" i="1"/>
  <c r="AO37" i="1" s="1"/>
  <c r="P37" i="3" s="1"/>
  <c r="W37" i="3" s="1"/>
  <c r="AH44" i="1"/>
  <c r="AI44" i="1" s="1"/>
  <c r="N44" i="3" s="1"/>
  <c r="Y44" i="3" s="1"/>
  <c r="AH36" i="1"/>
  <c r="AI36" i="1" s="1"/>
  <c r="N36" i="3" s="1"/>
  <c r="AH43" i="1"/>
  <c r="AO43" i="1" s="1"/>
  <c r="P43" i="3" s="1"/>
  <c r="W43" i="3" s="1"/>
  <c r="AH34" i="1"/>
  <c r="AI34" i="1" s="1"/>
  <c r="N34" i="3" s="1"/>
  <c r="AH42" i="1"/>
  <c r="AO42" i="1" s="1"/>
  <c r="P42" i="3" s="1"/>
  <c r="W42" i="3" s="1"/>
  <c r="AH12" i="1"/>
  <c r="AO12" i="1" s="1"/>
  <c r="P12" i="3" s="1"/>
  <c r="W12" i="3" s="1"/>
  <c r="AH28" i="1"/>
  <c r="AO28" i="1" s="1"/>
  <c r="P28" i="3" s="1"/>
  <c r="W28" i="3" s="1"/>
  <c r="AH47" i="1"/>
  <c r="AI47" i="1" s="1"/>
  <c r="N47" i="3" s="1"/>
  <c r="AH33" i="1"/>
  <c r="AO33" i="1" s="1"/>
  <c r="P33" i="3" s="1"/>
  <c r="W33" i="3" s="1"/>
  <c r="AH41" i="1"/>
  <c r="AO41" i="1" s="1"/>
  <c r="P41" i="3" s="1"/>
  <c r="W41" i="3" s="1"/>
  <c r="AH56" i="1"/>
  <c r="AO56" i="1" s="1"/>
  <c r="P56" i="3" s="1"/>
  <c r="W56" i="3" s="1"/>
  <c r="AH29" i="1"/>
  <c r="AO29" i="1" s="1"/>
  <c r="P29" i="3" s="1"/>
  <c r="W29" i="3" s="1"/>
  <c r="AH55" i="1"/>
  <c r="AI55" i="1" s="1"/>
  <c r="N55" i="3" s="1"/>
  <c r="AH50" i="1"/>
  <c r="AI50" i="1" s="1"/>
  <c r="N50" i="3" s="1"/>
  <c r="AH54" i="1"/>
  <c r="AO54" i="1" s="1"/>
  <c r="P54" i="3" s="1"/>
  <c r="W54" i="3" s="1"/>
  <c r="AH51" i="1"/>
  <c r="AO51" i="1" s="1"/>
  <c r="P51" i="3" s="1"/>
  <c r="W51" i="3" s="1"/>
  <c r="AH46" i="1"/>
  <c r="AO46" i="1" s="1"/>
  <c r="P46" i="3" s="1"/>
  <c r="W46" i="3" s="1"/>
  <c r="AH49" i="1"/>
  <c r="AI49" i="1" s="1"/>
  <c r="N49" i="3" s="1"/>
  <c r="AH53" i="1"/>
  <c r="AO53" i="1" s="1"/>
  <c r="P53" i="3" s="1"/>
  <c r="W53" i="3" s="1"/>
  <c r="AH57" i="1"/>
  <c r="AI57" i="1" s="1"/>
  <c r="N57" i="3" s="1"/>
  <c r="AH48" i="1"/>
  <c r="AO48" i="1" s="1"/>
  <c r="P48" i="3" s="1"/>
  <c r="W48" i="3" s="1"/>
  <c r="AH52" i="1"/>
  <c r="AO52" i="1" s="1"/>
  <c r="P52" i="3" s="1"/>
  <c r="W52" i="3" s="1"/>
  <c r="AH26" i="1"/>
  <c r="AO26" i="1" s="1"/>
  <c r="P26" i="3" s="1"/>
  <c r="W26" i="3" s="1"/>
  <c r="AH45" i="1"/>
  <c r="AI45" i="1" s="1"/>
  <c r="N45" i="3" s="1"/>
  <c r="AH6" i="1"/>
  <c r="AI6" i="1" s="1"/>
  <c r="N6" i="3" s="1"/>
  <c r="AO61" i="1" l="1"/>
  <c r="AI60" i="1"/>
  <c r="AA45" i="3"/>
  <c r="Y45" i="3"/>
  <c r="AB45" i="3"/>
  <c r="AI54" i="1"/>
  <c r="N54" i="3" s="1"/>
  <c r="AE54" i="3" s="1"/>
  <c r="AO63" i="1"/>
  <c r="U6" i="3"/>
  <c r="AO62" i="1"/>
  <c r="AD45" i="3"/>
  <c r="AI21" i="1"/>
  <c r="N21" i="3" s="1"/>
  <c r="AI41" i="1"/>
  <c r="N41" i="3" s="1"/>
  <c r="AB41" i="3" s="1"/>
  <c r="AI26" i="1"/>
  <c r="N26" i="3" s="1"/>
  <c r="AB26" i="3" s="1"/>
  <c r="AO44" i="1"/>
  <c r="P44" i="3" s="1"/>
  <c r="W44" i="3" s="1"/>
  <c r="AO11" i="1"/>
  <c r="P11" i="3" s="1"/>
  <c r="W11" i="3" s="1"/>
  <c r="AO27" i="1"/>
  <c r="P27" i="3" s="1"/>
  <c r="W27" i="3" s="1"/>
  <c r="AI48" i="1"/>
  <c r="N48" i="3" s="1"/>
  <c r="AE48" i="3" s="1"/>
  <c r="AO15" i="1"/>
  <c r="P15" i="3" s="1"/>
  <c r="W15" i="3" s="1"/>
  <c r="AI31" i="1"/>
  <c r="N31" i="3" s="1"/>
  <c r="AD31" i="3" s="1"/>
  <c r="Z17" i="3"/>
  <c r="AE17" i="3"/>
  <c r="Y17" i="3"/>
  <c r="U17" i="3"/>
  <c r="AD17" i="3"/>
  <c r="AB17" i="3"/>
  <c r="AB49" i="3"/>
  <c r="AA49" i="3"/>
  <c r="Z49" i="3"/>
  <c r="Y49" i="3"/>
  <c r="AE49" i="3"/>
  <c r="AD49" i="3"/>
  <c r="U49" i="3"/>
  <c r="AE9" i="3"/>
  <c r="Y9" i="3"/>
  <c r="Z9" i="3"/>
  <c r="U9" i="3"/>
  <c r="AA9" i="3"/>
  <c r="AD9" i="3"/>
  <c r="AB9" i="3"/>
  <c r="Y6" i="3"/>
  <c r="Z6" i="3"/>
  <c r="AB6" i="3"/>
  <c r="AD6" i="3"/>
  <c r="AE6" i="3"/>
  <c r="U44" i="3"/>
  <c r="AA44" i="3"/>
  <c r="AE44" i="3"/>
  <c r="Z44" i="3"/>
  <c r="AB44" i="3"/>
  <c r="AD44" i="3"/>
  <c r="Z15" i="3"/>
  <c r="Y15" i="3"/>
  <c r="AB15" i="3"/>
  <c r="U15" i="3"/>
  <c r="AE15" i="3"/>
  <c r="AA15" i="3"/>
  <c r="AD15" i="3"/>
  <c r="Z19" i="3"/>
  <c r="Y19" i="3"/>
  <c r="U19" i="3"/>
  <c r="AA19" i="3"/>
  <c r="AD19" i="3"/>
  <c r="AB19" i="3"/>
  <c r="AE19" i="3"/>
  <c r="Y38" i="3"/>
  <c r="AB38" i="3"/>
  <c r="AA38" i="3"/>
  <c r="Z38" i="3"/>
  <c r="AD38" i="3"/>
  <c r="AE38" i="3"/>
  <c r="U38" i="3"/>
  <c r="AD47" i="3"/>
  <c r="AA47" i="3"/>
  <c r="Z47" i="3"/>
  <c r="Y47" i="3"/>
  <c r="AB47" i="3"/>
  <c r="AE47" i="3"/>
  <c r="U47" i="3"/>
  <c r="AB11" i="3"/>
  <c r="AA11" i="3"/>
  <c r="Z11" i="3"/>
  <c r="U11" i="3"/>
  <c r="Y11" i="3"/>
  <c r="AE11" i="3"/>
  <c r="AD11" i="3"/>
  <c r="AE45" i="3"/>
  <c r="U45" i="3"/>
  <c r="Z45" i="3"/>
  <c r="Z14" i="3"/>
  <c r="AE14" i="3"/>
  <c r="AA14" i="3"/>
  <c r="Y14" i="3"/>
  <c r="AD14" i="3"/>
  <c r="U14" i="3"/>
  <c r="AB14" i="3"/>
  <c r="AE24" i="3"/>
  <c r="AA24" i="3"/>
  <c r="Y24" i="3"/>
  <c r="AD24" i="3"/>
  <c r="Z24" i="3"/>
  <c r="U24" i="3"/>
  <c r="AB24" i="3"/>
  <c r="Z50" i="3"/>
  <c r="Y50" i="3"/>
  <c r="U50" i="3"/>
  <c r="AE50" i="3"/>
  <c r="AB50" i="3"/>
  <c r="AA50" i="3"/>
  <c r="AD50" i="3"/>
  <c r="AB35" i="3"/>
  <c r="AD35" i="3"/>
  <c r="U35" i="3"/>
  <c r="Z35" i="3"/>
  <c r="AE35" i="3"/>
  <c r="Y35" i="3"/>
  <c r="AD16" i="3"/>
  <c r="U16" i="3"/>
  <c r="Y16" i="3"/>
  <c r="AB16" i="3"/>
  <c r="AA16" i="3"/>
  <c r="Z16" i="3"/>
  <c r="AE16" i="3"/>
  <c r="AE55" i="3"/>
  <c r="U55" i="3"/>
  <c r="Y55" i="3"/>
  <c r="AB55" i="3"/>
  <c r="AA55" i="3"/>
  <c r="Z55" i="3"/>
  <c r="AD55" i="3"/>
  <c r="Y27" i="3"/>
  <c r="AA27" i="3"/>
  <c r="AB27" i="3"/>
  <c r="Z27" i="3"/>
  <c r="AE27" i="3"/>
  <c r="AD27" i="3"/>
  <c r="U27" i="3"/>
  <c r="AB8" i="3"/>
  <c r="Y8" i="3"/>
  <c r="AA8" i="3"/>
  <c r="Z8" i="3"/>
  <c r="U8" i="3"/>
  <c r="AD8" i="3"/>
  <c r="AE8" i="3"/>
  <c r="AB57" i="3"/>
  <c r="AD57" i="3"/>
  <c r="U57" i="3"/>
  <c r="AA57" i="3"/>
  <c r="AE57" i="3"/>
  <c r="Y57" i="3"/>
  <c r="Z57" i="3"/>
  <c r="Z34" i="3"/>
  <c r="AB34" i="3"/>
  <c r="U34" i="3"/>
  <c r="AA34" i="3"/>
  <c r="Y34" i="3"/>
  <c r="AE34" i="3"/>
  <c r="AD34" i="3"/>
  <c r="AD10" i="3"/>
  <c r="AB10" i="3"/>
  <c r="U10" i="3"/>
  <c r="Y10" i="3"/>
  <c r="AE10" i="3"/>
  <c r="AA10" i="3"/>
  <c r="Z10" i="3"/>
  <c r="AI12" i="1"/>
  <c r="N12" i="3" s="1"/>
  <c r="AI13" i="1"/>
  <c r="N13" i="3" s="1"/>
  <c r="AO35" i="1"/>
  <c r="P35" i="3" s="1"/>
  <c r="W35" i="3" s="1"/>
  <c r="AO50" i="1"/>
  <c r="P50" i="3" s="1"/>
  <c r="W50" i="3" s="1"/>
  <c r="AI30" i="1"/>
  <c r="N30" i="3" s="1"/>
  <c r="AO49" i="1"/>
  <c r="P49" i="3" s="1"/>
  <c r="W49" i="3" s="1"/>
  <c r="AO10" i="1"/>
  <c r="P10" i="3" s="1"/>
  <c r="W10" i="3" s="1"/>
  <c r="AI46" i="1"/>
  <c r="N46" i="3" s="1"/>
  <c r="AI18" i="1"/>
  <c r="N18" i="3" s="1"/>
  <c r="AI32" i="1"/>
  <c r="N32" i="3" s="1"/>
  <c r="AI22" i="1"/>
  <c r="N22" i="3" s="1"/>
  <c r="AO57" i="1"/>
  <c r="P57" i="3" s="1"/>
  <c r="W57" i="3" s="1"/>
  <c r="AO19" i="1"/>
  <c r="P19" i="3" s="1"/>
  <c r="W19" i="3" s="1"/>
  <c r="AI52" i="1"/>
  <c r="N52" i="3" s="1"/>
  <c r="AO34" i="1"/>
  <c r="P34" i="3" s="1"/>
  <c r="W34" i="3" s="1"/>
  <c r="AI7" i="1"/>
  <c r="N7" i="3" s="1"/>
  <c r="AI51" i="1"/>
  <c r="N51" i="3" s="1"/>
  <c r="Y51" i="3" s="1"/>
  <c r="AI43" i="1"/>
  <c r="N43" i="3" s="1"/>
  <c r="AO45" i="1"/>
  <c r="P45" i="3" s="1"/>
  <c r="W45" i="3" s="1"/>
  <c r="AI23" i="1"/>
  <c r="N23" i="3" s="1"/>
  <c r="AI53" i="1"/>
  <c r="N53" i="3" s="1"/>
  <c r="AO14" i="1"/>
  <c r="P14" i="3" s="1"/>
  <c r="W14" i="3" s="1"/>
  <c r="AI56" i="1"/>
  <c r="N56" i="3" s="1"/>
  <c r="AI37" i="1"/>
  <c r="N37" i="3" s="1"/>
  <c r="AI39" i="1"/>
  <c r="N39" i="3" s="1"/>
  <c r="AO17" i="1"/>
  <c r="P17" i="3" s="1"/>
  <c r="W17" i="3" s="1"/>
  <c r="AI28" i="1"/>
  <c r="AI33" i="1"/>
  <c r="N33" i="3" s="1"/>
  <c r="AO9" i="1"/>
  <c r="P9" i="3" s="1"/>
  <c r="W9" i="3" s="1"/>
  <c r="AI20" i="1"/>
  <c r="N20" i="3" s="1"/>
  <c r="AI40" i="1"/>
  <c r="N40" i="3" s="1"/>
  <c r="AI25" i="1"/>
  <c r="N25" i="3" s="1"/>
  <c r="AD25" i="3" s="1"/>
  <c r="AO38" i="1"/>
  <c r="P38" i="3" s="1"/>
  <c r="W38" i="3" s="1"/>
  <c r="AO6" i="1"/>
  <c r="P6" i="3" s="1"/>
  <c r="W6" i="3" s="1"/>
  <c r="X6" i="3" s="1"/>
  <c r="AI29" i="1"/>
  <c r="N29" i="3" s="1"/>
  <c r="AA29" i="3" s="1"/>
  <c r="AO24" i="1"/>
  <c r="P24" i="3" s="1"/>
  <c r="W24" i="3" s="1"/>
  <c r="AI42" i="1"/>
  <c r="N42" i="3" s="1"/>
  <c r="AO8" i="1"/>
  <c r="P8" i="3" s="1"/>
  <c r="W8" i="3" s="1"/>
  <c r="AO47" i="1"/>
  <c r="P47" i="3" s="1"/>
  <c r="W47" i="3" s="1"/>
  <c r="AO16" i="1"/>
  <c r="P16" i="3" s="1"/>
  <c r="W16" i="3" s="1"/>
  <c r="AO55" i="1"/>
  <c r="P55" i="3" s="1"/>
  <c r="W55" i="3" s="1"/>
  <c r="AO36" i="1"/>
  <c r="P36" i="3" s="1"/>
  <c r="W36" i="3" s="1"/>
  <c r="AE36" i="3"/>
  <c r="AB36" i="3"/>
  <c r="U36" i="3"/>
  <c r="AA36" i="3"/>
  <c r="AD36" i="3"/>
  <c r="Z36" i="3"/>
  <c r="Y36" i="3"/>
  <c r="AB54" i="3" l="1"/>
  <c r="AD54" i="3"/>
  <c r="X27" i="3"/>
  <c r="Y26" i="3"/>
  <c r="X57" i="3"/>
  <c r="AF6" i="3"/>
  <c r="X11" i="3"/>
  <c r="AA54" i="3"/>
  <c r="U54" i="3"/>
  <c r="X54" i="3" s="1"/>
  <c r="Y54" i="3"/>
  <c r="AE26" i="3"/>
  <c r="U48" i="3"/>
  <c r="X48" i="3" s="1"/>
  <c r="Z54" i="3"/>
  <c r="AD21" i="3"/>
  <c r="AA21" i="3"/>
  <c r="AA48" i="3"/>
  <c r="Y48" i="3"/>
  <c r="AB48" i="3"/>
  <c r="U41" i="3"/>
  <c r="X41" i="3" s="1"/>
  <c r="AD41" i="3"/>
  <c r="AE41" i="3"/>
  <c r="AA41" i="3"/>
  <c r="X10" i="3"/>
  <c r="Z21" i="3"/>
  <c r="X15" i="3"/>
  <c r="Y21" i="3"/>
  <c r="AB21" i="3"/>
  <c r="X8" i="3"/>
  <c r="X16" i="3"/>
  <c r="X14" i="3"/>
  <c r="X45" i="3"/>
  <c r="X38" i="3"/>
  <c r="X49" i="3"/>
  <c r="X36" i="3"/>
  <c r="X55" i="3"/>
  <c r="X24" i="3"/>
  <c r="X47" i="3"/>
  <c r="X44" i="3"/>
  <c r="X17" i="3"/>
  <c r="X19" i="3"/>
  <c r="X34" i="3"/>
  <c r="X9" i="3"/>
  <c r="X35" i="3"/>
  <c r="Z48" i="3"/>
  <c r="Y41" i="3"/>
  <c r="Z41" i="3"/>
  <c r="AD48" i="3"/>
  <c r="X50" i="3"/>
  <c r="AA31" i="3"/>
  <c r="Z26" i="3"/>
  <c r="AA26" i="3"/>
  <c r="U26" i="3"/>
  <c r="X26" i="3" s="1"/>
  <c r="AD26" i="3"/>
  <c r="AF45" i="3"/>
  <c r="AE31" i="3"/>
  <c r="AE12" i="3"/>
  <c r="AD12" i="3"/>
  <c r="AF10" i="3"/>
  <c r="AF24" i="3"/>
  <c r="Z31" i="3"/>
  <c r="AB31" i="3"/>
  <c r="U31" i="3"/>
  <c r="X31" i="3" s="1"/>
  <c r="U21" i="3"/>
  <c r="X21" i="3" s="1"/>
  <c r="AE21" i="3"/>
  <c r="AF11" i="3"/>
  <c r="AF47" i="3"/>
  <c r="Y31" i="3"/>
  <c r="Y29" i="3"/>
  <c r="AD29" i="3"/>
  <c r="U29" i="3"/>
  <c r="X29" i="3" s="1"/>
  <c r="AB29" i="3"/>
  <c r="AE29" i="3"/>
  <c r="Z29" i="3"/>
  <c r="Z39" i="3"/>
  <c r="AA39" i="3"/>
  <c r="Y39" i="3"/>
  <c r="U39" i="3"/>
  <c r="X39" i="3" s="1"/>
  <c r="AD39" i="3"/>
  <c r="AE39" i="3"/>
  <c r="AB39" i="3"/>
  <c r="AA51" i="3"/>
  <c r="AB51" i="3"/>
  <c r="Z51" i="3"/>
  <c r="U51" i="3"/>
  <c r="X51" i="3" s="1"/>
  <c r="AE51" i="3"/>
  <c r="AD51" i="3"/>
  <c r="AA46" i="3"/>
  <c r="AE46" i="3"/>
  <c r="AD46" i="3"/>
  <c r="Z46" i="3"/>
  <c r="AB46" i="3"/>
  <c r="U46" i="3"/>
  <c r="X46" i="3" s="1"/>
  <c r="Y46" i="3"/>
  <c r="AF8" i="3"/>
  <c r="AF27" i="3"/>
  <c r="AF9" i="3"/>
  <c r="Z37" i="3"/>
  <c r="AE37" i="3"/>
  <c r="AD37" i="3"/>
  <c r="U37" i="3"/>
  <c r="X37" i="3" s="1"/>
  <c r="AB37" i="3"/>
  <c r="AA37" i="3"/>
  <c r="Y37" i="3"/>
  <c r="Y56" i="3"/>
  <c r="U56" i="3"/>
  <c r="X56" i="3" s="1"/>
  <c r="AE56" i="3"/>
  <c r="AA56" i="3"/>
  <c r="AB56" i="3"/>
  <c r="AD56" i="3"/>
  <c r="Z56" i="3"/>
  <c r="AE52" i="3"/>
  <c r="Y52" i="3"/>
  <c r="AD52" i="3"/>
  <c r="U52" i="3"/>
  <c r="X52" i="3" s="1"/>
  <c r="Z52" i="3"/>
  <c r="AB52" i="3"/>
  <c r="AA52" i="3"/>
  <c r="AL6" i="3"/>
  <c r="AF36" i="3"/>
  <c r="AB25" i="3"/>
  <c r="AA25" i="3"/>
  <c r="Z25" i="3"/>
  <c r="AE25" i="3"/>
  <c r="Y25" i="3"/>
  <c r="U25" i="3"/>
  <c r="X25" i="3" s="1"/>
  <c r="AD30" i="3"/>
  <c r="U30" i="3"/>
  <c r="X30" i="3" s="1"/>
  <c r="AA30" i="3"/>
  <c r="AE30" i="3"/>
  <c r="Y30" i="3"/>
  <c r="Z30" i="3"/>
  <c r="AB30" i="3"/>
  <c r="AF50" i="3"/>
  <c r="AF15" i="3"/>
  <c r="AD7" i="3"/>
  <c r="Y7" i="3"/>
  <c r="AA7" i="3"/>
  <c r="Z7" i="3"/>
  <c r="AB7" i="3"/>
  <c r="AE7" i="3"/>
  <c r="U7" i="3"/>
  <c r="X7" i="3" s="1"/>
  <c r="Z40" i="3"/>
  <c r="Y40" i="3"/>
  <c r="AA40" i="3"/>
  <c r="AB40" i="3"/>
  <c r="AE40" i="3"/>
  <c r="AD40" i="3"/>
  <c r="U40" i="3"/>
  <c r="X40" i="3" s="1"/>
  <c r="AE53" i="3"/>
  <c r="Y53" i="3"/>
  <c r="Z53" i="3"/>
  <c r="U53" i="3"/>
  <c r="X53" i="3" s="1"/>
  <c r="AB53" i="3"/>
  <c r="AD53" i="3"/>
  <c r="AA53" i="3"/>
  <c r="AF16" i="3"/>
  <c r="AF19" i="3"/>
  <c r="AB33" i="3"/>
  <c r="U33" i="3"/>
  <c r="X33" i="3" s="1"/>
  <c r="AA33" i="3"/>
  <c r="Z33" i="3"/>
  <c r="Y33" i="3"/>
  <c r="AE33" i="3"/>
  <c r="AD33" i="3"/>
  <c r="Y23" i="3"/>
  <c r="AD23" i="3"/>
  <c r="U23" i="3"/>
  <c r="X23" i="3" s="1"/>
  <c r="AE23" i="3"/>
  <c r="Z23" i="3"/>
  <c r="AA23" i="3"/>
  <c r="AB23" i="3"/>
  <c r="U22" i="3"/>
  <c r="X22" i="3" s="1"/>
  <c r="Y22" i="3"/>
  <c r="AD22" i="3"/>
  <c r="AB22" i="3"/>
  <c r="AE22" i="3"/>
  <c r="AA22" i="3"/>
  <c r="Z22" i="3"/>
  <c r="Z13" i="3"/>
  <c r="U13" i="3"/>
  <c r="X13" i="3" s="1"/>
  <c r="AB13" i="3"/>
  <c r="AA13" i="3"/>
  <c r="AD13" i="3"/>
  <c r="Y13" i="3"/>
  <c r="AE13" i="3"/>
  <c r="AF57" i="3"/>
  <c r="AF55" i="3"/>
  <c r="AF49" i="3"/>
  <c r="AF17" i="3"/>
  <c r="AD20" i="3"/>
  <c r="AE20" i="3"/>
  <c r="AB20" i="3"/>
  <c r="AA20" i="3"/>
  <c r="Z20" i="3"/>
  <c r="Y20" i="3"/>
  <c r="U20" i="3"/>
  <c r="X20" i="3" s="1"/>
  <c r="AA28" i="3"/>
  <c r="Y28" i="3"/>
  <c r="Z28" i="3"/>
  <c r="AB28" i="3"/>
  <c r="AE28" i="3"/>
  <c r="U28" i="3"/>
  <c r="X28" i="3" s="1"/>
  <c r="AD28" i="3"/>
  <c r="AA32" i="3"/>
  <c r="Z32" i="3"/>
  <c r="AB32" i="3"/>
  <c r="AE32" i="3"/>
  <c r="Y32" i="3"/>
  <c r="U32" i="3"/>
  <c r="X32" i="3" s="1"/>
  <c r="AD32" i="3"/>
  <c r="Z12" i="3"/>
  <c r="Y12" i="3"/>
  <c r="U12" i="3"/>
  <c r="X12" i="3" s="1"/>
  <c r="AB12" i="3"/>
  <c r="AA12" i="3"/>
  <c r="AF14" i="3"/>
  <c r="AF38" i="3"/>
  <c r="Y42" i="3"/>
  <c r="AE42" i="3"/>
  <c r="AB42" i="3"/>
  <c r="U42" i="3"/>
  <c r="X42" i="3" s="1"/>
  <c r="AA42" i="3"/>
  <c r="Z42" i="3"/>
  <c r="AD42" i="3"/>
  <c r="Z43" i="3"/>
  <c r="AB43" i="3"/>
  <c r="U43" i="3"/>
  <c r="X43" i="3" s="1"/>
  <c r="AE43" i="3"/>
  <c r="AA43" i="3"/>
  <c r="Y43" i="3"/>
  <c r="AD43" i="3"/>
  <c r="AE18" i="3"/>
  <c r="AD18" i="3"/>
  <c r="U18" i="3"/>
  <c r="X18" i="3" s="1"/>
  <c r="AB18" i="3"/>
  <c r="Y18" i="3"/>
  <c r="AA18" i="3"/>
  <c r="Z18" i="3"/>
  <c r="AF34" i="3"/>
  <c r="AF35" i="3"/>
  <c r="AF44" i="3"/>
  <c r="AL27" i="3" l="1"/>
  <c r="AL11" i="3"/>
  <c r="AF54" i="3"/>
  <c r="AL54" i="3" s="1"/>
  <c r="AL15" i="3"/>
  <c r="AL49" i="3"/>
  <c r="AL50" i="3"/>
  <c r="AL34" i="3"/>
  <c r="AL55" i="3"/>
  <c r="AL36" i="3"/>
  <c r="AL16" i="3"/>
  <c r="AL24" i="3"/>
  <c r="AL35" i="3"/>
  <c r="AL9" i="3"/>
  <c r="AL47" i="3"/>
  <c r="AL44" i="3"/>
  <c r="AL14" i="3"/>
  <c r="AL17" i="3"/>
  <c r="AL8" i="3"/>
  <c r="AL19" i="3"/>
  <c r="AF41" i="3"/>
  <c r="AL41" i="3" s="1"/>
  <c r="AL38" i="3"/>
  <c r="AF48" i="3"/>
  <c r="AL48" i="3" s="1"/>
  <c r="AL10" i="3"/>
  <c r="AL45" i="3"/>
  <c r="AL57" i="3"/>
  <c r="AF26" i="3"/>
  <c r="AL26" i="3" s="1"/>
  <c r="AF21" i="3"/>
  <c r="AL21" i="3" s="1"/>
  <c r="AF31" i="3"/>
  <c r="AL31" i="3" s="1"/>
  <c r="AF40" i="3"/>
  <c r="AL40" i="3" s="1"/>
  <c r="AF25" i="3"/>
  <c r="AL25" i="3" s="1"/>
  <c r="AF28" i="3"/>
  <c r="AF56" i="3"/>
  <c r="AL56" i="3" s="1"/>
  <c r="AF37" i="3"/>
  <c r="AL37" i="3" s="1"/>
  <c r="AF13" i="3"/>
  <c r="AL13" i="3" s="1"/>
  <c r="AF52" i="3"/>
  <c r="AL52" i="3" s="1"/>
  <c r="AF51" i="3"/>
  <c r="AL51" i="3" s="1"/>
  <c r="AF42" i="3"/>
  <c r="AL42" i="3" s="1"/>
  <c r="AF12" i="3"/>
  <c r="AL12" i="3" s="1"/>
  <c r="AF30" i="3"/>
  <c r="AL30" i="3" s="1"/>
  <c r="AF43" i="3"/>
  <c r="AL43" i="3" s="1"/>
  <c r="AF20" i="3"/>
  <c r="AL20" i="3" s="1"/>
  <c r="AF22" i="3"/>
  <c r="AL22" i="3" s="1"/>
  <c r="AF23" i="3"/>
  <c r="AL23" i="3" s="1"/>
  <c r="AF46" i="3"/>
  <c r="AL46" i="3" s="1"/>
  <c r="AF32" i="3"/>
  <c r="AL32" i="3" s="1"/>
  <c r="AF7" i="3"/>
  <c r="AL7" i="3" s="1"/>
  <c r="AF53" i="3"/>
  <c r="AL53" i="3" s="1"/>
  <c r="AF39" i="3"/>
  <c r="AL39" i="3" s="1"/>
  <c r="AF18" i="3"/>
  <c r="AL18" i="3" s="1"/>
  <c r="AF33" i="3"/>
  <c r="AL33" i="3" s="1"/>
  <c r="AF29" i="3"/>
  <c r="AL29" i="3" s="1"/>
  <c r="AL63" i="3" l="1"/>
  <c r="N14" i="9" s="1"/>
  <c r="N16" i="9" s="1"/>
</calcChain>
</file>

<file path=xl/sharedStrings.xml><?xml version="1.0" encoding="utf-8"?>
<sst xmlns="http://schemas.openxmlformats.org/spreadsheetml/2006/main" count="1910" uniqueCount="356">
  <si>
    <t>BẢNG CHẤM CÔNG</t>
  </si>
  <si>
    <t>Tháng</t>
  </si>
  <si>
    <t>năm</t>
  </si>
  <si>
    <t>STT</t>
  </si>
  <si>
    <t xml:space="preserve">Họ và Tên </t>
  </si>
  <si>
    <t>Ngày công</t>
  </si>
  <si>
    <t>vp1</t>
  </si>
  <si>
    <t>vp2</t>
  </si>
  <si>
    <t>P</t>
  </si>
  <si>
    <t>vp3</t>
  </si>
  <si>
    <t>vp4</t>
  </si>
  <si>
    <t>vp5</t>
  </si>
  <si>
    <t>vp6</t>
  </si>
  <si>
    <t>vp7</t>
  </si>
  <si>
    <t>vp8</t>
  </si>
  <si>
    <t>vp9</t>
  </si>
  <si>
    <t>vp10</t>
  </si>
  <si>
    <t>vp11</t>
  </si>
  <si>
    <t>vp12</t>
  </si>
  <si>
    <t>vp13</t>
  </si>
  <si>
    <t>sx1</t>
  </si>
  <si>
    <t>sx2</t>
  </si>
  <si>
    <t>sx3</t>
  </si>
  <si>
    <t>sx4</t>
  </si>
  <si>
    <t xml:space="preserve">Thẩm Ngọc Lam 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</si>
  <si>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</si>
  <si>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</si>
  <si>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</si>
  <si>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</si>
  <si>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</si>
  <si>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</si>
  <si>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</si>
  <si>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</si>
  <si>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</si>
  <si>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</si>
  <si>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Người lập biểu</t>
  </si>
  <si>
    <t>Giám đốc</t>
  </si>
  <si>
    <t xml:space="preserve">Tăng ca 1
(Giờ)
</t>
  </si>
  <si>
    <t>Tăng ca 2
(Giờ)</t>
  </si>
  <si>
    <t>CAO TRỌNG QUÍ</t>
  </si>
  <si>
    <t>PHAN THỊ HỒNG YẾN</t>
  </si>
  <si>
    <t>NGUYỄN THỊ QUỲNH NHƯ</t>
  </si>
  <si>
    <t>LÊ THANH NGUYỆT</t>
  </si>
  <si>
    <t>NGÔ MỸ CHI</t>
  </si>
  <si>
    <t>LÂM HẢI THƯƠNG</t>
  </si>
  <si>
    <t>THÁI NGỌC HOÀNG CHÂU</t>
  </si>
  <si>
    <t>THÁI THỊ NGỌC HÀ</t>
  </si>
  <si>
    <t>NGUYỄN THỊ KIM CHÂU</t>
  </si>
  <si>
    <t>TRẦN TẤN THÀNH</t>
  </si>
  <si>
    <t>NGUYỄN PHƯỚC ĐẠT</t>
  </si>
  <si>
    <t>NGUYỄN VĂN NHỰT</t>
  </si>
  <si>
    <t>HUỲNH YẾN PHA</t>
  </si>
  <si>
    <t>BÙI NGỌC THỊNH</t>
  </si>
  <si>
    <t>NGUYỄN TRẦN TRUNG THÀNH</t>
  </si>
  <si>
    <t>NGUYỄN VĂN TUẤN</t>
  </si>
  <si>
    <t>TRẦN THỊ SON</t>
  </si>
  <si>
    <t>THẠCH THỊ XUYÊN</t>
  </si>
  <si>
    <t>NGUYỄN THỊ MẾN</t>
  </si>
  <si>
    <t>HÀ DƯƠNG KHANG</t>
  </si>
  <si>
    <t>VỎ THÚY DIỂM</t>
  </si>
  <si>
    <t>NGUYỄN VIỆT SƠN</t>
  </si>
  <si>
    <t>HOÀNG VĂN HÙNG</t>
  </si>
  <si>
    <t>NGUYỄN VĂN THƠM</t>
  </si>
  <si>
    <t>NGUYỄN TUẤN KIỆT</t>
  </si>
  <si>
    <t>NGUYỄN THỊ ĐỨC</t>
  </si>
  <si>
    <t>NGUYỄN THỊ ĐIỆP</t>
  </si>
  <si>
    <t>NGUYỄN THỊ THÙY LAN</t>
  </si>
  <si>
    <t>NGUYỄN THỊ NGỌC BÍCH ( Tạp vụ )</t>
  </si>
  <si>
    <t>TRẦN THỊ ĐAN</t>
  </si>
  <si>
    <t>NGUYỄN QUỲNH PHƯƠNG THÚY</t>
  </si>
  <si>
    <t xml:space="preserve">LÂM KIM HIỀN </t>
  </si>
  <si>
    <t>HUỲNH THỊ KIỀU MY</t>
  </si>
  <si>
    <t>VĂNG VĂN Ý</t>
  </si>
  <si>
    <t>NGUYỄN THÚY NGÀ</t>
  </si>
  <si>
    <t>HUỲNH THỊ HẢI YẾN</t>
  </si>
  <si>
    <t>HOÀNG THỊ ĐĂM</t>
  </si>
  <si>
    <t>LÒ VĂN BÍCH</t>
  </si>
  <si>
    <t>HUỲNH VĂN TRỌNG</t>
  </si>
  <si>
    <t>NGUYỄN THỊ NGA ( TẠP VỤ )</t>
  </si>
  <si>
    <t>PHẠM MINH XEM</t>
  </si>
  <si>
    <t>NGUYỄN THANH PHÚ</t>
  </si>
  <si>
    <t>NGUYỄN THANH ĐỨC</t>
  </si>
  <si>
    <t>TRƯƠNG THỊ THU THỦY</t>
  </si>
  <si>
    <t>NGUYỄN VĂN NHƠN</t>
  </si>
  <si>
    <t>NGUYỄN VĂN HOÀI</t>
  </si>
  <si>
    <t>TRẦN CÔNG THANH</t>
  </si>
  <si>
    <t>PHẠM BÌNH THẠNH ( KHO )</t>
  </si>
  <si>
    <t>PHẠM VĂN CHEN</t>
  </si>
  <si>
    <t>VĂNG THỊ CẨM HƯƠNG</t>
  </si>
  <si>
    <t>T</t>
  </si>
  <si>
    <t>x/2</t>
  </si>
  <si>
    <t>TC1</t>
  </si>
  <si>
    <t>TC2</t>
  </si>
  <si>
    <t>Họ và tên</t>
  </si>
  <si>
    <t>Ngày</t>
  </si>
  <si>
    <t>Tổng cộng</t>
  </si>
  <si>
    <t>NGUYỄN THỊ THANH VÂN (Tạp vụ)</t>
  </si>
  <si>
    <t>Nhân viên sản xuất</t>
  </si>
  <si>
    <t>Số HĐLĐ/
Mã số NV</t>
  </si>
  <si>
    <t>LASX00001</t>
  </si>
  <si>
    <t>LASX00002</t>
  </si>
  <si>
    <t>LASX00003</t>
  </si>
  <si>
    <t>LASX00004</t>
  </si>
  <si>
    <t>LASX00005</t>
  </si>
  <si>
    <t>LASX00006</t>
  </si>
  <si>
    <t>LASX00007</t>
  </si>
  <si>
    <t>LASX00008</t>
  </si>
  <si>
    <t>LASX00009</t>
  </si>
  <si>
    <t>LASX00010</t>
  </si>
  <si>
    <t>LASX00011</t>
  </si>
  <si>
    <t>LASX00012</t>
  </si>
  <si>
    <t>LASX00013</t>
  </si>
  <si>
    <t>LASX00014</t>
  </si>
  <si>
    <t>LASX00015</t>
  </si>
  <si>
    <t>LASX00016</t>
  </si>
  <si>
    <t>LASX00017</t>
  </si>
  <si>
    <t>LASX00018</t>
  </si>
  <si>
    <t>LASX00019</t>
  </si>
  <si>
    <t>LASX00020</t>
  </si>
  <si>
    <t>LASX00021</t>
  </si>
  <si>
    <t>LASX00022</t>
  </si>
  <si>
    <t>LASX00023</t>
  </si>
  <si>
    <t>LASX00024</t>
  </si>
  <si>
    <t>LASX00025</t>
  </si>
  <si>
    <t>LASX00026</t>
  </si>
  <si>
    <t>LASX00027</t>
  </si>
  <si>
    <t>LASX00028</t>
  </si>
  <si>
    <t>LASX00029</t>
  </si>
  <si>
    <t>LASX00030</t>
  </si>
  <si>
    <t>LASX00031</t>
  </si>
  <si>
    <t>LASX00032</t>
  </si>
  <si>
    <t>LASX00033</t>
  </si>
  <si>
    <t>LASX00034</t>
  </si>
  <si>
    <t>LASX00035</t>
  </si>
  <si>
    <t>LASX00036</t>
  </si>
  <si>
    <t>LASX00037</t>
  </si>
  <si>
    <t>LASX00038</t>
  </si>
  <si>
    <t>LASX00039</t>
  </si>
  <si>
    <t>LASX00040</t>
  </si>
  <si>
    <t>LASX00041</t>
  </si>
  <si>
    <t>LASX00047</t>
  </si>
  <si>
    <t>LASX00042</t>
  </si>
  <si>
    <t>LASX00046</t>
  </si>
  <si>
    <t>LASX00048</t>
  </si>
  <si>
    <t>LASX00049</t>
  </si>
  <si>
    <t>LASX00050</t>
  </si>
  <si>
    <t>LASX00051</t>
  </si>
  <si>
    <t>LASX00052</t>
  </si>
  <si>
    <t>LASX00053</t>
  </si>
  <si>
    <t>LASX00054</t>
  </si>
  <si>
    <t>NGÀY CÔNG TB</t>
  </si>
  <si>
    <t>Lương CB</t>
  </si>
  <si>
    <t>Phụ cấp</t>
  </si>
  <si>
    <t>Ngày công thực tế</t>
  </si>
  <si>
    <t>Vi phạm</t>
  </si>
  <si>
    <t>Lương thực tế</t>
  </si>
  <si>
    <t>TỔNG LƯƠNG</t>
  </si>
  <si>
    <t>Tiền Phụ cấp</t>
  </si>
  <si>
    <t>TỔNG PHỤ CẤP</t>
  </si>
  <si>
    <t>Các khoản giảm trừ</t>
  </si>
  <si>
    <t>THỰC LĨNH</t>
  </si>
  <si>
    <t>Nhà ở</t>
  </si>
  <si>
    <t>Xăng xe</t>
  </si>
  <si>
    <t>PC khác</t>
  </si>
  <si>
    <t>Chuyên cần</t>
  </si>
  <si>
    <t>Giờ tăng ca</t>
  </si>
  <si>
    <t>Làm Tết</t>
  </si>
  <si>
    <t>Nghỉ có phép</t>
  </si>
  <si>
    <t>Nghỉ không phép</t>
  </si>
  <si>
    <t>Đi trễ/Về sớm</t>
  </si>
  <si>
    <t>Vi phạm nội quy</t>
  </si>
  <si>
    <t>Lương ngày công</t>
  </si>
  <si>
    <t>Lương tăng ca</t>
  </si>
  <si>
    <t>Lương tết</t>
  </si>
  <si>
    <t>Đi trễ/về sớm</t>
  </si>
  <si>
    <t>TNCN</t>
  </si>
  <si>
    <t>LASX00055</t>
  </si>
  <si>
    <t>Tổng Lương</t>
  </si>
  <si>
    <t xml:space="preserve">Tăng ca   </t>
  </si>
  <si>
    <t xml:space="preserve">TC Chủ nhật </t>
  </si>
  <si>
    <t>Phép</t>
  </si>
  <si>
    <t>TỔNG GIẢM TRỪ</t>
  </si>
  <si>
    <t xml:space="preserve">Làm ngày tết </t>
  </si>
  <si>
    <t>Nguyễn Thanh Hoàng</t>
  </si>
  <si>
    <t>Nhân viên Văn phòng</t>
  </si>
  <si>
    <t>Thẩm Ngọc Lam</t>
  </si>
  <si>
    <t xml:space="preserve">Dương Thị Thanh Phụng </t>
  </si>
  <si>
    <t>Dương Việt Khả</t>
  </si>
  <si>
    <t>Nguyễn Kim Thu Thủy</t>
  </si>
  <si>
    <t>VP002</t>
  </si>
  <si>
    <t>VP003</t>
  </si>
  <si>
    <t>VP004</t>
  </si>
  <si>
    <t>TCCN</t>
  </si>
  <si>
    <t>TỔNG LƯƠNG CB</t>
  </si>
  <si>
    <t xml:space="preserve">TỔNG LƯƠNG </t>
  </si>
  <si>
    <t>TỔNG PC+TN</t>
  </si>
  <si>
    <t>NGUYỄN THỊ NGA ( TV)</t>
  </si>
  <si>
    <t>PHẠM BÌNH THẠNH</t>
  </si>
  <si>
    <t>Tạm ứng</t>
  </si>
  <si>
    <t xml:space="preserve">Vi phạm </t>
  </si>
  <si>
    <t>Không HT CV</t>
  </si>
  <si>
    <t>VP001</t>
  </si>
  <si>
    <t xml:space="preserve">ĐẶNG HỒNG SƠN </t>
  </si>
  <si>
    <t>LASX00056</t>
  </si>
  <si>
    <t>8</t>
  </si>
  <si>
    <t>STK</t>
  </si>
  <si>
    <t>SACOMBANK - 070132731134</t>
  </si>
  <si>
    <t>AGRI- 6613205491680</t>
  </si>
  <si>
    <t>MB - 0797613886</t>
  </si>
  <si>
    <t>TPBANK - 00004255370</t>
  </si>
  <si>
    <t>Vietinbank - 0181001576390</t>
  </si>
  <si>
    <t>ACB - 10824927</t>
  </si>
  <si>
    <t>OCB - 0055100004528003</t>
  </si>
  <si>
    <t>Vietinbank - 0106876097607</t>
  </si>
  <si>
    <t>ACB - 1722217</t>
  </si>
  <si>
    <t>BIDV - 68010001853277</t>
  </si>
  <si>
    <t>Tech- 1903580727017</t>
  </si>
  <si>
    <t>TM</t>
  </si>
  <si>
    <t>Vietcombank - 0281000593454</t>
  </si>
  <si>
    <t>vietcombank - 0281000593454</t>
  </si>
  <si>
    <t>ACB - 34872287</t>
  </si>
  <si>
    <t>Viettin - 101871192472</t>
  </si>
  <si>
    <t>Vietinbank - 109875767753</t>
  </si>
  <si>
    <t>105873278340 ????</t>
  </si>
  <si>
    <t>MSB - 3410101159541</t>
  </si>
  <si>
    <t>MB - 0001663725907</t>
  </si>
  <si>
    <t>VCB - 1029275996</t>
  </si>
  <si>
    <t>VCB - 9964148277</t>
  </si>
  <si>
    <t>BIDV - 36210000279969</t>
  </si>
  <si>
    <t>THẨM NGỌC LAM</t>
  </si>
  <si>
    <t>Nặng nhọc</t>
  </si>
  <si>
    <t>Đào tạo</t>
  </si>
  <si>
    <t>Đông Á - 0110660189</t>
  </si>
  <si>
    <t>BIDV - 18920000565869</t>
  </si>
  <si>
    <t>MB - 836789666789</t>
  </si>
  <si>
    <t>PHAN THỊ KIM KHUYÊN</t>
  </si>
  <si>
    <t>Viettinbank - 108879080634</t>
  </si>
  <si>
    <t>Viettinbank - 101871977559</t>
  </si>
  <si>
    <t>Sacombank - 070127455811</t>
  </si>
  <si>
    <t>Vietcombank - 1044235080</t>
  </si>
  <si>
    <t>Lương NS</t>
  </si>
  <si>
    <t>Chuyên biệt</t>
  </si>
  <si>
    <t>CỔNG TY CỔ PHẦN SẢN XUẤT THỰC PHẨM NGỌC THƠM FOODS</t>
  </si>
  <si>
    <t>Lô E5, Đường số 9, Cụm công nghiệp Hải Sơn Đức Hòa Đông, Xã Đức Hòa Đông, Huyện Đức Hoà, Tỉnh Long An</t>
  </si>
  <si>
    <t>Tháng 02 năm 2024</t>
  </si>
  <si>
    <t>HỌ VÀ TÊN</t>
  </si>
  <si>
    <t>CHỨC VỤ</t>
  </si>
  <si>
    <t>MỨC LƯƠNG 
(26 ngày công)</t>
  </si>
  <si>
    <t>LƯƠNG NGÀY CÔNG</t>
  </si>
  <si>
    <t>NGÀY CÔNG THỰC TẾ</t>
  </si>
  <si>
    <t>KHEN/ THƯỞNG</t>
  </si>
  <si>
    <t>CÁC KHOẢN GIẢM TRỪ</t>
  </si>
  <si>
    <t>TỔNG THU NHẬP</t>
  </si>
  <si>
    <t>TẠM ỨNG</t>
  </si>
  <si>
    <t>GHI CHÚ</t>
  </si>
  <si>
    <t>Phạt</t>
  </si>
  <si>
    <t>BHXH</t>
  </si>
  <si>
    <t>Trần Thị Thơm</t>
  </si>
  <si>
    <t>Chủ tịch HĐQT</t>
  </si>
  <si>
    <t xml:space="preserve">Tháng thiếu </t>
  </si>
  <si>
    <t xml:space="preserve">Nguyễn Đình Quyền </t>
  </si>
  <si>
    <t>TP Kỹ thuật</t>
  </si>
  <si>
    <t xml:space="preserve">Nguyễn Thanh Hà </t>
  </si>
  <si>
    <t>TP R&amp;D</t>
  </si>
  <si>
    <t>Trần Thị Hằng</t>
  </si>
  <si>
    <t>TP Sơ chế</t>
  </si>
  <si>
    <t>TỔNG</t>
  </si>
  <si>
    <t xml:space="preserve">BẢNG LƯƠNG </t>
  </si>
  <si>
    <t>SẢN XUẤT &amp; VĂN PHÒNG</t>
  </si>
  <si>
    <t>Chức vụ</t>
  </si>
  <si>
    <t>cn</t>
  </si>
  <si>
    <t>NGÀY CÔNG</t>
  </si>
  <si>
    <t>HC</t>
  </si>
  <si>
    <t>TC</t>
  </si>
  <si>
    <t>x1.8</t>
  </si>
  <si>
    <t>ĐT/VS</t>
  </si>
  <si>
    <t>THÀNH TIỀN</t>
  </si>
  <si>
    <t>TV</t>
  </si>
  <si>
    <t>NGUYỄN THÁI ANH</t>
  </si>
  <si>
    <t>CNSX</t>
  </si>
  <si>
    <t>PHAN ÂN TRỌNG</t>
  </si>
  <si>
    <t>NGUYỄN THI THỎA</t>
  </si>
  <si>
    <t>TRẦN VĂN VÀNG</t>
  </si>
  <si>
    <t>LÊ TẤN ĐẠT</t>
  </si>
  <si>
    <t>LÊ THỊ NGỌC HÂN</t>
  </si>
  <si>
    <t>LÂM THỊ CẨM GIAN</t>
  </si>
  <si>
    <t>HUỲNH NGỌC THƯƠNG</t>
  </si>
  <si>
    <t>NGUYỄN THỊ HẰNG</t>
  </si>
  <si>
    <t>NGUYỄN PHÚC HẬU</t>
  </si>
  <si>
    <t>NGUYỄN THANH TUẤN</t>
  </si>
  <si>
    <t>LÊ TRƯỜNG AN</t>
  </si>
  <si>
    <t>HUỲNH NGỌC TRÂM</t>
  </si>
  <si>
    <t>LÊ THUỲ LINH</t>
  </si>
  <si>
    <t>HUỲNH VĂN HUL</t>
  </si>
  <si>
    <t>NGUYỄN QUỐC VINH</t>
  </si>
  <si>
    <t>DANH THỊ TRANG</t>
  </si>
  <si>
    <t>NGUYỄN THỊ LÀNH</t>
  </si>
  <si>
    <t>LÊ MINH HIỀN</t>
  </si>
  <si>
    <t>VÕ THỊ PHƯƠNG THẢO</t>
  </si>
  <si>
    <t>TRẦN DUY THANH</t>
  </si>
  <si>
    <t>TRẦN CHÍ BẢO</t>
  </si>
  <si>
    <t>TỔNG LƯƠNG LĐ</t>
  </si>
  <si>
    <t xml:space="preserve">TỔNG CỘNG </t>
  </si>
  <si>
    <t>THỜI VỤ</t>
  </si>
  <si>
    <t>BHXH-
BHYT-
BHTN (10,5%)</t>
  </si>
  <si>
    <t>Phí CĐ 
(1%)</t>
  </si>
  <si>
    <t>SỐ NGƯỜI GIẢM TRỪ</t>
  </si>
  <si>
    <t>GIẢM TRỪ GIA CẢNH</t>
  </si>
  <si>
    <t>THU NHẬP TÍNH THUẾ</t>
  </si>
  <si>
    <t>THUẾ 
TNCN</t>
  </si>
  <si>
    <t>BẢN THÂN</t>
  </si>
  <si>
    <t>GTGC</t>
  </si>
  <si>
    <t>KHẤU TRỪ BH &amp; CD</t>
  </si>
  <si>
    <t>PHẠT</t>
  </si>
  <si>
    <t>KHEN/ THƯỞNG/ KHÁC</t>
  </si>
  <si>
    <t>Không ra 
hóa đơn</t>
  </si>
  <si>
    <t>CÔNG TY CỔ PHẦN SẢN XUẤT THỰC PHẨM NGỌC THƠM FOODS</t>
  </si>
  <si>
    <t>TT</t>
  </si>
  <si>
    <t>Họ tên</t>
  </si>
  <si>
    <t>Trừ phí công đoàn</t>
  </si>
  <si>
    <t>Trừ khác</t>
  </si>
  <si>
    <t>Số người 
phụ thuộc</t>
  </si>
  <si>
    <t>Tổng số tiền giảm trừ</t>
  </si>
  <si>
    <t>Thu nhập 
tính thuế</t>
  </si>
  <si>
    <t xml:space="preserve">Thuế TNCN </t>
  </si>
  <si>
    <t>Thực lãnh</t>
  </si>
  <si>
    <t>Ghi chú</t>
  </si>
  <si>
    <t>Coi lại phần GTGC</t>
  </si>
  <si>
    <t>TỔNG CỘNG BQL</t>
  </si>
  <si>
    <t xml:space="preserve">THẨM NGỌC LAM </t>
  </si>
  <si>
    <t>TỔNG CỘNG KHỐI GIÁN TIẾP</t>
  </si>
  <si>
    <t>TỔNG CỘNG THÁNG 3,2024</t>
  </si>
  <si>
    <t>DANH SÁCH CBCNV THUỘC DIỆN ĐÓNG THUẾ TNCN THÁNG 02/2024</t>
  </si>
  <si>
    <t>Tổng thu nhập
chịu thuế</t>
  </si>
  <si>
    <t>Chưa trừ trong lương tháng 2.24</t>
  </si>
  <si>
    <t xml:space="preserve">BẢNG CHI TIẾT LƯƠNG </t>
  </si>
  <si>
    <t>Kỹ thuật</t>
  </si>
  <si>
    <t>Tài xế</t>
  </si>
  <si>
    <t>QC</t>
  </si>
  <si>
    <t>TỔNG CỘNG</t>
  </si>
  <si>
    <t>BH  Công Đoàn</t>
  </si>
  <si>
    <t>THUẾ TNCN</t>
  </si>
  <si>
    <t>Số người GT</t>
  </si>
  <si>
    <t>TỔNG THU 
NHẬP CHỊU THUÊ</t>
  </si>
  <si>
    <t>Số người 
GT</t>
  </si>
  <si>
    <t>TỔNG THU 
NHẬP</t>
  </si>
  <si>
    <t xml:space="preserve">
MIỄN THUẾ</t>
  </si>
  <si>
    <t>CÁC KHOẢN  TRỪ</t>
  </si>
  <si>
    <t xml:space="preserve">TỔNG </t>
  </si>
  <si>
    <t>TỔNG LƯƠNG LĐ(9ld)</t>
  </si>
  <si>
    <t>THỜI VỤ 1(26LD)</t>
  </si>
  <si>
    <t>THỜI VỤ 2(53LD)</t>
  </si>
  <si>
    <t>TỔNG CỘNG (88LD)</t>
  </si>
  <si>
    <t>Bộ phận sản xuất</t>
  </si>
  <si>
    <t>Bộ phận gián tiếp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</si>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</sst>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 * #,##0_ ;_ * \-#,##0_ ;_ * &quot;-&quot;_ ;_ @_ "/>
    <numFmt numFmtId="170" formatCode="_(* #,##0.0_);_(* \(#,##0.0\);_(* &quot;-&quot;??_);_(@_)"/>
    <numFmt numFmtId="171" formatCode="_(* #,##0_);_(* \(#,##0\);_(* &quot;-&quot;??_);_(@_)"/>
    <numFmt numFmtId="172" formatCode="h:mm;@"/>
    <numFmt numFmtId="173" formatCode="_(* #,##0.0_);_(* \(#,##0.0\);_(* &quot;-&quot;?_);_(@_)"/>
    <numFmt numFmtId="174" formatCode="_-* #,##0\ _₫_-;\-* #,##0\ _₫_-;_-* &quot;-&quot;??\ _₫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9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9"/>
      <name val="Times New Roman"/>
      <family val="1"/>
    </font>
    <font>
      <b/>
      <sz val="11"/>
      <color rgb="FFFF0000"/>
      <name val="Times New Roman"/>
      <family val="1"/>
    </font>
    <font>
      <sz val="12"/>
      <color theme="0"/>
      <name val="Times New Roman"/>
      <family val="1"/>
    </font>
    <font>
      <sz val="11"/>
      <name val="Calibri"/>
      <family val="2"/>
      <scheme val="minor"/>
    </font>
    <font>
      <b/>
      <sz val="11"/>
      <color theme="3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theme="0"/>
      <name val="Times New Roman"/>
      <family val="1"/>
      <charset val="163"/>
    </font>
    <font>
      <sz val="12"/>
      <name val="Times New Roman"/>
      <family val="1"/>
      <charset val="163"/>
    </font>
    <font>
      <b/>
      <sz val="20"/>
      <name val="Times New Roman"/>
      <family val="1"/>
      <charset val="163"/>
    </font>
    <font>
      <b/>
      <sz val="28"/>
      <color theme="0"/>
      <name val="Times New Roman"/>
      <family val="1"/>
      <charset val="163"/>
    </font>
    <font>
      <b/>
      <sz val="28"/>
      <name val="Times New Roman"/>
      <family val="1"/>
      <charset val="163"/>
    </font>
    <font>
      <b/>
      <sz val="12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charset val="163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9"/>
      <name val="Times New Roman"/>
      <family val="1"/>
    </font>
    <font>
      <sz val="10"/>
      <color rgb="FFFF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2">
    <xf numFmtId="0" fontId="0" fillId="0" borderId="0" xfId="0"/>
    <xf numFmtId="0" fontId="0" fillId="0" borderId="0" xfId="0" applyProtection="1">
      <protection locked="0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66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67" fontId="13" fillId="4" borderId="1" xfId="2" applyNumberFormat="1" applyFont="1" applyFill="1" applyBorder="1" applyAlignment="1">
      <alignment horizontal="center" vertical="center"/>
    </xf>
    <xf numFmtId="168" fontId="15" fillId="3" borderId="1" xfId="2" applyNumberFormat="1" applyFont="1" applyFill="1" applyBorder="1" applyAlignment="1">
      <alignment horizontal="center" vertical="center" textRotation="90"/>
    </xf>
    <xf numFmtId="168" fontId="15" fillId="3" borderId="1" xfId="2" applyNumberFormat="1" applyFont="1" applyFill="1" applyBorder="1" applyAlignment="1">
      <alignment horizontal="center" vertical="center" textRotation="90" wrapText="1"/>
    </xf>
    <xf numFmtId="0" fontId="16" fillId="4" borderId="2" xfId="0" applyFont="1" applyFill="1" applyBorder="1" applyAlignment="1">
      <alignment vertical="center"/>
    </xf>
    <xf numFmtId="168" fontId="17" fillId="4" borderId="2" xfId="2" applyNumberFormat="1" applyFont="1" applyFill="1" applyBorder="1" applyAlignment="1">
      <alignment vertical="center" textRotation="90"/>
    </xf>
    <xf numFmtId="168" fontId="17" fillId="4" borderId="3" xfId="2" applyNumberFormat="1" applyFont="1" applyFill="1" applyBorder="1" applyAlignment="1">
      <alignment vertical="center" textRotation="90"/>
    </xf>
    <xf numFmtId="168" fontId="17" fillId="4" borderId="4" xfId="2" applyNumberFormat="1" applyFont="1" applyFill="1" applyBorder="1" applyAlignment="1">
      <alignment vertical="center" textRotation="90"/>
    </xf>
    <xf numFmtId="0" fontId="0" fillId="4" borderId="1" xfId="0" applyFill="1" applyBorder="1" applyProtection="1">
      <protection locked="0"/>
    </xf>
    <xf numFmtId="0" fontId="18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49" fontId="20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0" borderId="1" xfId="0" applyBorder="1"/>
    <xf numFmtId="0" fontId="6" fillId="8" borderId="0" xfId="0" applyFont="1" applyFill="1" applyAlignment="1">
      <alignment horizontal="center" vertical="center"/>
    </xf>
    <xf numFmtId="169" fontId="20" fillId="5" borderId="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3" fillId="0" borderId="0" xfId="0" applyFont="1"/>
    <xf numFmtId="0" fontId="13" fillId="3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20" fillId="12" borderId="1" xfId="0" applyNumberFormat="1" applyFont="1" applyFill="1" applyBorder="1" applyAlignment="1">
      <alignment horizontal="center" vertical="center"/>
    </xf>
    <xf numFmtId="49" fontId="20" fillId="8" borderId="1" xfId="0" applyNumberFormat="1" applyFont="1" applyFill="1" applyBorder="1" applyAlignment="1">
      <alignment horizontal="center" vertical="center"/>
    </xf>
    <xf numFmtId="170" fontId="0" fillId="5" borderId="1" xfId="1" applyNumberFormat="1" applyFont="1" applyFill="1" applyBorder="1" applyProtection="1">
      <protection locked="0"/>
    </xf>
    <xf numFmtId="49" fontId="20" fillId="16" borderId="1" xfId="0" applyNumberFormat="1" applyFont="1" applyFill="1" applyBorder="1" applyAlignment="1">
      <alignment horizontal="center" vertical="center"/>
    </xf>
    <xf numFmtId="0" fontId="0" fillId="15" borderId="1" xfId="0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15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49" fontId="0" fillId="14" borderId="1" xfId="0" applyNumberFormat="1" applyFill="1" applyBorder="1" applyAlignment="1">
      <alignment horizontal="center"/>
    </xf>
    <xf numFmtId="0" fontId="0" fillId="14" borderId="1" xfId="0" applyFill="1" applyBorder="1"/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171" fontId="26" fillId="0" borderId="1" xfId="1" applyNumberFormat="1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70" fontId="26" fillId="0" borderId="1" xfId="1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164" fontId="26" fillId="0" borderId="1" xfId="1" applyFont="1" applyBorder="1" applyAlignment="1">
      <alignment vertical="center"/>
    </xf>
    <xf numFmtId="171" fontId="26" fillId="0" borderId="1" xfId="0" applyNumberFormat="1" applyFont="1" applyBorder="1" applyAlignment="1">
      <alignment vertical="center"/>
    </xf>
    <xf numFmtId="171" fontId="30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71" fontId="31" fillId="0" borderId="1" xfId="1" applyNumberFormat="1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71" fontId="31" fillId="0" borderId="1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71" fontId="20" fillId="0" borderId="1" xfId="1" applyNumberFormat="1" applyFont="1" applyBorder="1" applyAlignment="1">
      <alignment vertical="center"/>
    </xf>
    <xf numFmtId="164" fontId="20" fillId="0" borderId="1" xfId="1" applyFont="1" applyBorder="1" applyAlignment="1">
      <alignment vertical="center"/>
    </xf>
    <xf numFmtId="170" fontId="20" fillId="0" borderId="1" xfId="1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71" fontId="20" fillId="0" borderId="1" xfId="0" applyNumberFormat="1" applyFont="1" applyBorder="1" applyAlignment="1">
      <alignment vertical="center"/>
    </xf>
    <xf numFmtId="171" fontId="21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/>
    </xf>
    <xf numFmtId="171" fontId="25" fillId="0" borderId="1" xfId="1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171" fontId="25" fillId="0" borderId="1" xfId="0" applyNumberFormat="1" applyFont="1" applyBorder="1" applyAlignment="1">
      <alignment vertical="center"/>
    </xf>
    <xf numFmtId="171" fontId="32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13" fillId="3" borderId="1" xfId="2" applyFont="1" applyFill="1" applyBorder="1" applyAlignment="1">
      <alignment vertical="center" wrapText="1"/>
    </xf>
    <xf numFmtId="0" fontId="13" fillId="3" borderId="6" xfId="2" applyFont="1" applyFill="1" applyBorder="1" applyAlignment="1">
      <alignment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71" fontId="26" fillId="0" borderId="1" xfId="1" applyNumberFormat="1" applyFont="1" applyBorder="1" applyAlignment="1">
      <alignment vertical="center" wrapText="1"/>
    </xf>
    <xf numFmtId="171" fontId="0" fillId="0" borderId="0" xfId="1" applyNumberFormat="1" applyFont="1"/>
    <xf numFmtId="164" fontId="26" fillId="0" borderId="1" xfId="0" applyNumberFormat="1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0" fontId="33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71" fontId="20" fillId="0" borderId="1" xfId="1" applyNumberFormat="1" applyFont="1" applyFill="1" applyBorder="1" applyAlignment="1">
      <alignment vertical="center"/>
    </xf>
    <xf numFmtId="0" fontId="34" fillId="0" borderId="1" xfId="0" applyFont="1" applyBorder="1"/>
    <xf numFmtId="0" fontId="34" fillId="0" borderId="0" xfId="0" applyFont="1"/>
    <xf numFmtId="49" fontId="0" fillId="14" borderId="0" xfId="0" applyNumberFormat="1" applyFill="1" applyAlignment="1">
      <alignment horizontal="center"/>
    </xf>
    <xf numFmtId="0" fontId="26" fillId="0" borderId="1" xfId="0" applyFont="1" applyBorder="1"/>
    <xf numFmtId="171" fontId="26" fillId="0" borderId="1" xfId="1" applyNumberFormat="1" applyFont="1" applyBorder="1"/>
    <xf numFmtId="0" fontId="32" fillId="0" borderId="1" xfId="0" applyFont="1" applyBorder="1"/>
    <xf numFmtId="171" fontId="32" fillId="17" borderId="1" xfId="1" applyNumberFormat="1" applyFont="1" applyFill="1" applyBorder="1"/>
    <xf numFmtId="0" fontId="21" fillId="18" borderId="1" xfId="0" applyFont="1" applyFill="1" applyBorder="1"/>
    <xf numFmtId="171" fontId="21" fillId="18" borderId="1" xfId="1" applyNumberFormat="1" applyFont="1" applyFill="1" applyBorder="1"/>
    <xf numFmtId="170" fontId="26" fillId="0" borderId="1" xfId="1" applyNumberFormat="1" applyFont="1" applyBorder="1"/>
    <xf numFmtId="0" fontId="30" fillId="4" borderId="1" xfId="0" applyFont="1" applyFill="1" applyBorder="1" applyAlignment="1">
      <alignment vertical="center"/>
    </xf>
    <xf numFmtId="171" fontId="30" fillId="4" borderId="1" xfId="1" applyNumberFormat="1" applyFont="1" applyFill="1" applyBorder="1" applyAlignment="1">
      <alignment vertical="center"/>
    </xf>
    <xf numFmtId="171" fontId="32" fillId="18" borderId="1" xfId="1" applyNumberFormat="1" applyFont="1" applyFill="1" applyBorder="1" applyAlignment="1">
      <alignment vertical="center"/>
    </xf>
    <xf numFmtId="0" fontId="32" fillId="18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171" fontId="35" fillId="18" borderId="1" xfId="1" applyNumberFormat="1" applyFont="1" applyFill="1" applyBorder="1"/>
    <xf numFmtId="0" fontId="35" fillId="18" borderId="1" xfId="0" applyFont="1" applyFill="1" applyBorder="1"/>
    <xf numFmtId="0" fontId="26" fillId="0" borderId="1" xfId="0" applyFont="1" applyBorder="1" applyAlignment="1">
      <alignment wrapText="1"/>
    </xf>
    <xf numFmtId="171" fontId="32" fillId="17" borderId="1" xfId="0" applyNumberFormat="1" applyFont="1" applyFill="1" applyBorder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169" fontId="20" fillId="5" borderId="2" xfId="0" applyNumberFormat="1" applyFont="1" applyFill="1" applyBorder="1" applyAlignment="1">
      <alignment horizontal="left" vertical="center"/>
    </xf>
    <xf numFmtId="49" fontId="20" fillId="5" borderId="3" xfId="0" applyNumberFormat="1" applyFont="1" applyFill="1" applyBorder="1" applyAlignment="1">
      <alignment horizontal="center" vertical="center"/>
    </xf>
    <xf numFmtId="171" fontId="26" fillId="0" borderId="1" xfId="1" applyNumberFormat="1" applyFont="1" applyBorder="1" applyAlignment="1">
      <alignment horizontal="center" vertical="center"/>
    </xf>
    <xf numFmtId="171" fontId="26" fillId="0" borderId="11" xfId="1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71" fontId="0" fillId="0" borderId="0" xfId="0" applyNumberFormat="1"/>
    <xf numFmtId="0" fontId="27" fillId="0" borderId="0" xfId="0" applyFont="1" applyAlignment="1">
      <alignment vertical="center"/>
    </xf>
    <xf numFmtId="171" fontId="23" fillId="0" borderId="0" xfId="1" applyNumberFormat="1" applyFont="1"/>
    <xf numFmtId="0" fontId="36" fillId="0" borderId="0" xfId="0" applyFont="1" applyAlignment="1">
      <alignment vertical="center"/>
    </xf>
    <xf numFmtId="0" fontId="36" fillId="0" borderId="0" xfId="0" applyFont="1"/>
    <xf numFmtId="0" fontId="27" fillId="0" borderId="1" xfId="0" applyFont="1" applyBorder="1" applyAlignment="1">
      <alignment horizontal="center" vertical="center"/>
    </xf>
    <xf numFmtId="171" fontId="24" fillId="5" borderId="1" xfId="1" applyNumberFormat="1" applyFont="1" applyFill="1" applyBorder="1" applyAlignment="1">
      <alignment vertical="center"/>
    </xf>
    <xf numFmtId="171" fontId="24" fillId="5" borderId="1" xfId="0" applyNumberFormat="1" applyFont="1" applyFill="1" applyBorder="1" applyAlignment="1">
      <alignment vertical="center"/>
    </xf>
    <xf numFmtId="171" fontId="24" fillId="0" borderId="1" xfId="1" applyNumberFormat="1" applyFont="1" applyBorder="1" applyAlignment="1">
      <alignment vertical="center"/>
    </xf>
    <xf numFmtId="171" fontId="27" fillId="0" borderId="1" xfId="0" applyNumberFormat="1" applyFont="1" applyBorder="1" applyAlignment="1">
      <alignment vertical="center"/>
    </xf>
    <xf numFmtId="171" fontId="24" fillId="0" borderId="1" xfId="0" applyNumberFormat="1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171" fontId="38" fillId="0" borderId="1" xfId="1" applyNumberFormat="1" applyFont="1" applyBorder="1"/>
    <xf numFmtId="171" fontId="24" fillId="5" borderId="1" xfId="1" applyNumberFormat="1" applyFont="1" applyFill="1" applyBorder="1"/>
    <xf numFmtId="171" fontId="38" fillId="5" borderId="1" xfId="0" applyNumberFormat="1" applyFont="1" applyFill="1" applyBorder="1"/>
    <xf numFmtId="171" fontId="24" fillId="0" borderId="1" xfId="1" applyNumberFormat="1" applyFont="1" applyBorder="1"/>
    <xf numFmtId="171" fontId="27" fillId="0" borderId="1" xfId="1" applyNumberFormat="1" applyFont="1" applyBorder="1"/>
    <xf numFmtId="0" fontId="27" fillId="0" borderId="1" xfId="0" applyFont="1" applyBorder="1" applyAlignment="1">
      <alignment vertical="center"/>
    </xf>
    <xf numFmtId="170" fontId="24" fillId="0" borderId="1" xfId="1" applyNumberFormat="1" applyFont="1" applyFill="1" applyBorder="1"/>
    <xf numFmtId="9" fontId="24" fillId="0" borderId="1" xfId="0" applyNumberFormat="1" applyFont="1" applyBorder="1" applyAlignment="1">
      <alignment vertical="center"/>
    </xf>
    <xf numFmtId="170" fontId="29" fillId="0" borderId="1" xfId="1" applyNumberFormat="1" applyFont="1" applyFill="1" applyBorder="1"/>
    <xf numFmtId="172" fontId="29" fillId="0" borderId="1" xfId="0" applyNumberFormat="1" applyFont="1" applyBorder="1"/>
    <xf numFmtId="0" fontId="29" fillId="0" borderId="1" xfId="0" applyFont="1" applyBorder="1"/>
    <xf numFmtId="173" fontId="38" fillId="0" borderId="1" xfId="0" applyNumberFormat="1" applyFont="1" applyBorder="1"/>
    <xf numFmtId="0" fontId="24" fillId="0" borderId="1" xfId="0" applyFont="1" applyBorder="1"/>
    <xf numFmtId="0" fontId="30" fillId="0" borderId="1" xfId="0" applyFont="1" applyBorder="1"/>
    <xf numFmtId="174" fontId="30" fillId="0" borderId="1" xfId="0" applyNumberFormat="1" applyFont="1" applyBorder="1"/>
    <xf numFmtId="171" fontId="38" fillId="0" borderId="1" xfId="0" applyNumberFormat="1" applyFont="1" applyBorder="1" applyAlignment="1">
      <alignment vertical="center"/>
    </xf>
    <xf numFmtId="171" fontId="27" fillId="17" borderId="1" xfId="1" applyNumberFormat="1" applyFont="1" applyFill="1" applyBorder="1"/>
    <xf numFmtId="0" fontId="29" fillId="0" borderId="2" xfId="0" applyFont="1" applyBorder="1"/>
    <xf numFmtId="0" fontId="38" fillId="0" borderId="1" xfId="0" applyFont="1" applyBorder="1" applyAlignment="1">
      <alignment vertical="center"/>
    </xf>
    <xf numFmtId="171" fontId="24" fillId="0" borderId="1" xfId="1" applyNumberFormat="1" applyFont="1" applyFill="1" applyBorder="1" applyAlignment="1" applyProtection="1">
      <alignment vertical="center"/>
      <protection hidden="1"/>
    </xf>
    <xf numFmtId="174" fontId="6" fillId="5" borderId="0" xfId="1" applyNumberFormat="1" applyFont="1" applyFill="1"/>
    <xf numFmtId="0" fontId="39" fillId="5" borderId="0" xfId="0" applyFont="1" applyFill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74" fontId="40" fillId="0" borderId="0" xfId="1" applyNumberFormat="1" applyFont="1" applyAlignment="1">
      <alignment horizontal="center"/>
    </xf>
    <xf numFmtId="174" fontId="40" fillId="0" borderId="0" xfId="1" applyNumberFormat="1" applyFont="1"/>
    <xf numFmtId="0" fontId="40" fillId="0" borderId="0" xfId="0" applyFont="1"/>
    <xf numFmtId="171" fontId="42" fillId="5" borderId="0" xfId="0" applyNumberFormat="1" applyFont="1" applyFill="1" applyAlignment="1">
      <alignment horizontal="center"/>
    </xf>
    <xf numFmtId="171" fontId="43" fillId="0" borderId="0" xfId="0" applyNumberFormat="1" applyFont="1" applyAlignment="1">
      <alignment horizontal="center"/>
    </xf>
    <xf numFmtId="174" fontId="43" fillId="0" borderId="0" xfId="1" applyNumberFormat="1" applyFont="1" applyAlignment="1">
      <alignment horizontal="center"/>
    </xf>
    <xf numFmtId="171" fontId="44" fillId="5" borderId="1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74" fontId="16" fillId="4" borderId="1" xfId="1" applyNumberFormat="1" applyFont="1" applyFill="1" applyBorder="1" applyAlignment="1">
      <alignment horizontal="center" vertical="center" wrapText="1"/>
    </xf>
    <xf numFmtId="174" fontId="40" fillId="4" borderId="1" xfId="1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5" fillId="5" borderId="1" xfId="0" applyFont="1" applyFill="1" applyBorder="1"/>
    <xf numFmtId="0" fontId="46" fillId="0" borderId="1" xfId="0" applyFont="1" applyBorder="1"/>
    <xf numFmtId="174" fontId="46" fillId="0" borderId="1" xfId="1" applyNumberFormat="1" applyFont="1" applyBorder="1"/>
    <xf numFmtId="174" fontId="46" fillId="19" borderId="1" xfId="1" applyNumberFormat="1" applyFont="1" applyFill="1" applyBorder="1"/>
    <xf numFmtId="0" fontId="46" fillId="0" borderId="0" xfId="0" applyFont="1"/>
    <xf numFmtId="174" fontId="46" fillId="0" borderId="1" xfId="1" applyNumberFormat="1" applyFont="1" applyBorder="1" applyAlignment="1">
      <alignment horizontal="left" vertical="center"/>
    </xf>
    <xf numFmtId="174" fontId="47" fillId="0" borderId="1" xfId="1" applyNumberFormat="1" applyFont="1" applyBorder="1"/>
    <xf numFmtId="174" fontId="47" fillId="4" borderId="1" xfId="1" applyNumberFormat="1" applyFont="1" applyFill="1" applyBorder="1"/>
    <xf numFmtId="0" fontId="45" fillId="5" borderId="0" xfId="0" applyFont="1" applyFill="1"/>
    <xf numFmtId="174" fontId="46" fillId="0" borderId="0" xfId="1" applyNumberFormat="1" applyFont="1"/>
    <xf numFmtId="174" fontId="46" fillId="4" borderId="1" xfId="1" applyNumberFormat="1" applyFont="1" applyFill="1" applyBorder="1" applyAlignment="1">
      <alignment horizontal="center"/>
    </xf>
    <xf numFmtId="174" fontId="46" fillId="0" borderId="1" xfId="1" applyNumberFormat="1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165" fontId="4" fillId="0" borderId="0" xfId="2" applyNumberFormat="1" applyFont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0" fillId="11" borderId="2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30" fillId="11" borderId="4" xfId="0" applyFont="1" applyFill="1" applyBorder="1" applyAlignment="1">
      <alignment horizontal="center" vertical="center"/>
    </xf>
    <xf numFmtId="171" fontId="30" fillId="7" borderId="6" xfId="1" applyNumberFormat="1" applyFont="1" applyFill="1" applyBorder="1" applyAlignment="1">
      <alignment horizontal="center" vertical="center"/>
    </xf>
    <xf numFmtId="171" fontId="30" fillId="7" borderId="5" xfId="1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71" fontId="30" fillId="0" borderId="6" xfId="1" applyNumberFormat="1" applyFont="1" applyBorder="1" applyAlignment="1">
      <alignment horizontal="center" vertical="center"/>
    </xf>
    <xf numFmtId="171" fontId="30" fillId="0" borderId="5" xfId="1" applyNumberFormat="1" applyFont="1" applyBorder="1" applyAlignment="1">
      <alignment horizontal="center" vertical="center"/>
    </xf>
    <xf numFmtId="171" fontId="30" fillId="0" borderId="2" xfId="1" applyNumberFormat="1" applyFont="1" applyBorder="1" applyAlignment="1">
      <alignment horizontal="center" vertical="center"/>
    </xf>
    <xf numFmtId="171" fontId="30" fillId="0" borderId="3" xfId="1" applyNumberFormat="1" applyFont="1" applyBorder="1" applyAlignment="1">
      <alignment horizontal="center" vertical="center"/>
    </xf>
    <xf numFmtId="171" fontId="30" fillId="0" borderId="8" xfId="1" applyNumberFormat="1" applyFont="1" applyBorder="1" applyAlignment="1">
      <alignment horizontal="center" vertical="center" wrapText="1"/>
    </xf>
    <xf numFmtId="171" fontId="30" fillId="0" borderId="9" xfId="1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1" fontId="30" fillId="11" borderId="1" xfId="1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/>
    </xf>
    <xf numFmtId="0" fontId="30" fillId="15" borderId="2" xfId="0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0" fontId="30" fillId="13" borderId="6" xfId="0" applyFont="1" applyFill="1" applyBorder="1" applyAlignment="1">
      <alignment horizontal="center" vertical="center" wrapText="1"/>
    </xf>
    <xf numFmtId="0" fontId="30" fillId="13" borderId="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7" fillId="0" borderId="12" xfId="0" applyFont="1" applyBorder="1" applyAlignment="1">
      <alignment horizontal="center"/>
    </xf>
    <xf numFmtId="171" fontId="27" fillId="0" borderId="6" xfId="1" applyNumberFormat="1" applyFont="1" applyBorder="1" applyAlignment="1">
      <alignment horizontal="center" vertical="center" wrapText="1"/>
    </xf>
    <xf numFmtId="171" fontId="27" fillId="0" borderId="5" xfId="1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170" fontId="24" fillId="0" borderId="1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37" fontId="24" fillId="0" borderId="1" xfId="1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47" fillId="4" borderId="1" xfId="0" applyFont="1" applyFill="1" applyBorder="1" applyAlignment="1">
      <alignment horizontal="center"/>
    </xf>
    <xf numFmtId="171" fontId="41" fillId="0" borderId="0" xfId="0" applyNumberFormat="1" applyFont="1" applyAlignment="1">
      <alignment horizontal="center"/>
    </xf>
    <xf numFmtId="174" fontId="46" fillId="0" borderId="1" xfId="1" applyNumberFormat="1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/>
    </xf>
    <xf numFmtId="0" fontId="32" fillId="17" borderId="2" xfId="0" applyFont="1" applyFill="1" applyBorder="1" applyAlignment="1">
      <alignment horizontal="center" vertical="center" wrapText="1"/>
    </xf>
    <xf numFmtId="0" fontId="32" fillId="17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5" fillId="18" borderId="2" xfId="0" applyFont="1" applyFill="1" applyBorder="1" applyAlignment="1">
      <alignment horizontal="center" vertical="center" wrapText="1"/>
    </xf>
    <xf numFmtId="0" fontId="35" fillId="18" borderId="4" xfId="0" applyFont="1" applyFill="1" applyBorder="1" applyAlignment="1">
      <alignment horizontal="center" vertical="center" wrapText="1"/>
    </xf>
    <xf numFmtId="0" fontId="32" fillId="18" borderId="2" xfId="0" applyFont="1" applyFill="1" applyBorder="1" applyAlignment="1">
      <alignment horizontal="center" vertical="center" wrapText="1"/>
    </xf>
    <xf numFmtId="0" fontId="32" fillId="18" borderId="4" xfId="0" applyFont="1" applyFill="1" applyBorder="1" applyAlignment="1">
      <alignment horizontal="center" vertical="center" wrapText="1"/>
    </xf>
    <xf numFmtId="0" fontId="21" fillId="18" borderId="2" xfId="0" applyFont="1" applyFill="1" applyBorder="1" applyAlignment="1">
      <alignment horizontal="center" vertical="center" wrapText="1"/>
    </xf>
    <xf numFmtId="0" fontId="21" fillId="18" borderId="4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70" fontId="26" fillId="0" borderId="6" xfId="1" applyNumberFormat="1" applyFont="1" applyBorder="1" applyAlignment="1">
      <alignment horizontal="center" vertical="center" wrapText="1"/>
    </xf>
    <xf numFmtId="170" fontId="26" fillId="0" borderId="10" xfId="1" applyNumberFormat="1" applyFont="1" applyBorder="1" applyAlignment="1">
      <alignment horizontal="center" vertical="center" wrapText="1"/>
    </xf>
    <xf numFmtId="170" fontId="26" fillId="0" borderId="5" xfId="1" applyNumberFormat="1" applyFont="1" applyBorder="1" applyAlignment="1">
      <alignment horizontal="center" vertical="center" wrapText="1"/>
    </xf>
    <xf numFmtId="171" fontId="3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171" fontId="26" fillId="0" borderId="5" xfId="1" applyNumberFormat="1" applyFont="1" applyBorder="1" applyAlignment="1">
      <alignment vertical="center"/>
    </xf>
    <xf numFmtId="164" fontId="26" fillId="0" borderId="5" xfId="1" applyFont="1" applyBorder="1" applyAlignment="1">
      <alignment vertical="center"/>
    </xf>
    <xf numFmtId="170" fontId="26" fillId="0" borderId="5" xfId="1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171" fontId="30" fillId="0" borderId="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27" fillId="18" borderId="14" xfId="0" applyFont="1" applyFill="1" applyBorder="1" applyAlignment="1">
      <alignment horizontal="center" vertical="center" wrapText="1"/>
    </xf>
    <xf numFmtId="0" fontId="27" fillId="18" borderId="14" xfId="0" applyFont="1" applyFill="1" applyBorder="1" applyAlignment="1">
      <alignment horizontal="center" vertical="center"/>
    </xf>
    <xf numFmtId="0" fontId="27" fillId="18" borderId="14" xfId="0" applyFont="1" applyFill="1" applyBorder="1" applyAlignment="1">
      <alignment horizontal="center" vertical="center" wrapText="1"/>
    </xf>
    <xf numFmtId="171" fontId="30" fillId="18" borderId="14" xfId="1" applyNumberFormat="1" applyFont="1" applyFill="1" applyBorder="1" applyAlignment="1">
      <alignment horizontal="center" vertical="center"/>
    </xf>
    <xf numFmtId="171" fontId="30" fillId="18" borderId="14" xfId="1" applyNumberFormat="1" applyFont="1" applyFill="1" applyBorder="1" applyAlignment="1">
      <alignment horizontal="center" vertical="center" wrapText="1"/>
    </xf>
    <xf numFmtId="0" fontId="30" fillId="18" borderId="14" xfId="0" applyFont="1" applyFill="1" applyBorder="1" applyAlignment="1">
      <alignment horizontal="center" vertical="center"/>
    </xf>
    <xf numFmtId="0" fontId="32" fillId="18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18" borderId="17" xfId="0" applyFont="1" applyFill="1" applyBorder="1" applyAlignment="1">
      <alignment horizontal="center" vertical="center" wrapText="1"/>
    </xf>
    <xf numFmtId="0" fontId="27" fillId="18" borderId="17" xfId="0" applyFont="1" applyFill="1" applyBorder="1" applyAlignment="1">
      <alignment horizontal="center" vertical="center"/>
    </xf>
    <xf numFmtId="0" fontId="27" fillId="18" borderId="17" xfId="0" applyFont="1" applyFill="1" applyBorder="1" applyAlignment="1">
      <alignment horizontal="center" vertical="center" wrapText="1"/>
    </xf>
    <xf numFmtId="171" fontId="30" fillId="18" borderId="17" xfId="1" applyNumberFormat="1" applyFont="1" applyFill="1" applyBorder="1" applyAlignment="1">
      <alignment horizontal="center" vertical="center"/>
    </xf>
    <xf numFmtId="171" fontId="26" fillId="18" borderId="17" xfId="1" applyNumberFormat="1" applyFont="1" applyFill="1" applyBorder="1" applyAlignment="1">
      <alignment horizontal="center" vertical="center"/>
    </xf>
    <xf numFmtId="171" fontId="30" fillId="18" borderId="17" xfId="1" applyNumberFormat="1" applyFont="1" applyFill="1" applyBorder="1" applyAlignment="1">
      <alignment horizontal="center" vertical="center" wrapText="1"/>
    </xf>
    <xf numFmtId="0" fontId="26" fillId="18" borderId="17" xfId="0" applyFont="1" applyFill="1" applyBorder="1" applyAlignment="1">
      <alignment vertical="center"/>
    </xf>
    <xf numFmtId="170" fontId="26" fillId="18" borderId="17" xfId="1" applyNumberFormat="1" applyFont="1" applyFill="1" applyBorder="1" applyAlignment="1">
      <alignment vertical="center"/>
    </xf>
    <xf numFmtId="0" fontId="26" fillId="18" borderId="17" xfId="0" applyFont="1" applyFill="1" applyBorder="1" applyAlignment="1">
      <alignment vertical="center" wrapText="1"/>
    </xf>
    <xf numFmtId="171" fontId="26" fillId="18" borderId="17" xfId="1" applyNumberFormat="1" applyFont="1" applyFill="1" applyBorder="1" applyAlignment="1">
      <alignment vertical="center" wrapText="1"/>
    </xf>
    <xf numFmtId="171" fontId="26" fillId="18" borderId="17" xfId="1" applyNumberFormat="1" applyFont="1" applyFill="1" applyBorder="1" applyAlignment="1">
      <alignment horizontal="center" vertical="center" wrapText="1"/>
    </xf>
    <xf numFmtId="0" fontId="32" fillId="18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171" fontId="30" fillId="0" borderId="20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71" fontId="30" fillId="0" borderId="22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171" fontId="31" fillId="0" borderId="22" xfId="0" applyNumberFormat="1" applyFont="1" applyBorder="1" applyAlignment="1">
      <alignment vertical="center"/>
    </xf>
    <xf numFmtId="171" fontId="21" fillId="0" borderId="22" xfId="0" applyNumberFormat="1" applyFont="1" applyBorder="1" applyAlignment="1">
      <alignment vertical="center"/>
    </xf>
    <xf numFmtId="171" fontId="32" fillId="0" borderId="22" xfId="0" applyNumberFormat="1" applyFont="1" applyBorder="1" applyAlignment="1">
      <alignment vertical="center"/>
    </xf>
    <xf numFmtId="171" fontId="26" fillId="0" borderId="5" xfId="0" applyNumberFormat="1" applyFont="1" applyBorder="1" applyAlignment="1">
      <alignment horizontal="center" vertical="center"/>
    </xf>
    <xf numFmtId="174" fontId="30" fillId="18" borderId="14" xfId="1" applyNumberFormat="1" applyFont="1" applyFill="1" applyBorder="1" applyAlignment="1">
      <alignment horizontal="center" vertical="center" wrapText="1"/>
    </xf>
    <xf numFmtId="171" fontId="27" fillId="18" borderId="14" xfId="1" applyNumberFormat="1" applyFont="1" applyFill="1" applyBorder="1" applyAlignment="1">
      <alignment horizontal="center" vertical="center" wrapText="1"/>
    </xf>
    <xf numFmtId="174" fontId="27" fillId="18" borderId="14" xfId="1" applyNumberFormat="1" applyFont="1" applyFill="1" applyBorder="1" applyAlignment="1">
      <alignment horizontal="center" vertical="center" wrapText="1"/>
    </xf>
    <xf numFmtId="0" fontId="50" fillId="18" borderId="17" xfId="0" applyFont="1" applyFill="1" applyBorder="1" applyAlignment="1">
      <alignment horizontal="center" vertical="center" wrapText="1"/>
    </xf>
    <xf numFmtId="174" fontId="30" fillId="18" borderId="17" xfId="1" applyNumberFormat="1" applyFont="1" applyFill="1" applyBorder="1" applyAlignment="1">
      <alignment horizontal="center" vertical="center" wrapText="1"/>
    </xf>
    <xf numFmtId="171" fontId="27" fillId="18" borderId="17" xfId="1" applyNumberFormat="1" applyFont="1" applyFill="1" applyBorder="1" applyAlignment="1">
      <alignment horizontal="center" vertical="center" wrapText="1"/>
    </xf>
    <xf numFmtId="174" fontId="27" fillId="18" borderId="17" xfId="1" applyNumberFormat="1" applyFont="1" applyFill="1" applyBorder="1" applyAlignment="1">
      <alignment horizontal="center" vertical="center" wrapText="1"/>
    </xf>
    <xf numFmtId="171" fontId="30" fillId="0" borderId="5" xfId="1" applyNumberFormat="1" applyFont="1" applyBorder="1" applyAlignment="1">
      <alignment vertical="center"/>
    </xf>
    <xf numFmtId="171" fontId="30" fillId="0" borderId="1" xfId="1" applyNumberFormat="1" applyFont="1" applyBorder="1" applyAlignment="1">
      <alignment vertical="center"/>
    </xf>
    <xf numFmtId="171" fontId="51" fillId="5" borderId="0" xfId="1" applyNumberFormat="1" applyFont="1" applyFill="1"/>
    <xf numFmtId="171" fontId="30" fillId="0" borderId="0" xfId="1" applyNumberFormat="1" applyFont="1" applyAlignment="1">
      <alignment vertical="center"/>
    </xf>
    <xf numFmtId="171" fontId="26" fillId="0" borderId="0" xfId="1" applyNumberFormat="1" applyFont="1" applyAlignment="1">
      <alignment vertical="center"/>
    </xf>
    <xf numFmtId="171" fontId="31" fillId="0" borderId="0" xfId="1" applyNumberFormat="1" applyFont="1" applyAlignment="1">
      <alignment vertical="center"/>
    </xf>
    <xf numFmtId="171" fontId="20" fillId="0" borderId="0" xfId="1" applyNumberFormat="1" applyFont="1" applyAlignment="1">
      <alignment vertical="center"/>
    </xf>
    <xf numFmtId="171" fontId="25" fillId="0" borderId="0" xfId="1" applyNumberFormat="1" applyFont="1" applyAlignment="1">
      <alignment vertical="center"/>
    </xf>
    <xf numFmtId="164" fontId="52" fillId="0" borderId="0" xfId="1" applyNumberFormat="1" applyFont="1"/>
    <xf numFmtId="171" fontId="49" fillId="17" borderId="17" xfId="0" applyNumberFormat="1" applyFont="1" applyFill="1" applyBorder="1"/>
    <xf numFmtId="0" fontId="0" fillId="20" borderId="16" xfId="0" applyFill="1" applyBorder="1"/>
    <xf numFmtId="0" fontId="0" fillId="20" borderId="17" xfId="0" applyFill="1" applyBorder="1"/>
    <xf numFmtId="171" fontId="49" fillId="20" borderId="17" xfId="0" applyNumberFormat="1" applyFont="1" applyFill="1" applyBorder="1"/>
    <xf numFmtId="0" fontId="0" fillId="20" borderId="0" xfId="0" applyFill="1"/>
    <xf numFmtId="171" fontId="0" fillId="20" borderId="0" xfId="1" applyNumberFormat="1" applyFont="1" applyFill="1"/>
    <xf numFmtId="171" fontId="30" fillId="18" borderId="17" xfId="1" applyNumberFormat="1" applyFont="1" applyFill="1" applyBorder="1" applyAlignment="1">
      <alignment vertical="center"/>
    </xf>
    <xf numFmtId="0" fontId="26" fillId="0" borderId="0" xfId="0" applyFont="1"/>
    <xf numFmtId="0" fontId="24" fillId="0" borderId="0" xfId="0" applyFont="1"/>
    <xf numFmtId="171" fontId="24" fillId="0" borderId="0" xfId="1" applyNumberFormat="1" applyFont="1"/>
    <xf numFmtId="171" fontId="26" fillId="0" borderId="0" xfId="0" applyNumberFormat="1" applyFont="1"/>
    <xf numFmtId="171" fontId="26" fillId="0" borderId="0" xfId="1" applyNumberFormat="1" applyFont="1"/>
    <xf numFmtId="0" fontId="37" fillId="0" borderId="0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171" fontId="27" fillId="0" borderId="24" xfId="1" applyNumberFormat="1" applyFont="1" applyBorder="1" applyAlignment="1">
      <alignment horizontal="center" vertical="center" wrapText="1"/>
    </xf>
    <xf numFmtId="174" fontId="30" fillId="0" borderId="14" xfId="1" applyNumberFormat="1" applyFont="1" applyBorder="1" applyAlignment="1">
      <alignment horizontal="center" vertical="center" wrapText="1"/>
    </xf>
    <xf numFmtId="171" fontId="27" fillId="0" borderId="14" xfId="1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171" fontId="27" fillId="0" borderId="23" xfId="1" applyNumberFormat="1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174" fontId="30" fillId="0" borderId="17" xfId="1" applyNumberFormat="1" applyFont="1" applyBorder="1" applyAlignment="1">
      <alignment horizontal="center" vertical="center" wrapText="1"/>
    </xf>
    <xf numFmtId="171" fontId="27" fillId="0" borderId="17" xfId="1" applyNumberFormat="1" applyFont="1" applyBorder="1" applyAlignment="1">
      <alignment horizontal="center" vertical="center" wrapText="1"/>
    </xf>
    <xf numFmtId="171" fontId="27" fillId="0" borderId="17" xfId="1" applyNumberFormat="1" applyFont="1" applyBorder="1" applyAlignment="1">
      <alignment horizontal="center" vertical="center" wrapText="1"/>
    </xf>
    <xf numFmtId="171" fontId="27" fillId="0" borderId="17" xfId="1" applyNumberFormat="1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171" fontId="24" fillId="5" borderId="14" xfId="1" applyNumberFormat="1" applyFont="1" applyFill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171" fontId="24" fillId="5" borderId="14" xfId="0" applyNumberFormat="1" applyFont="1" applyFill="1" applyBorder="1" applyAlignment="1">
      <alignment vertical="center"/>
    </xf>
    <xf numFmtId="171" fontId="24" fillId="0" borderId="14" xfId="1" applyNumberFormat="1" applyFont="1" applyFill="1" applyBorder="1" applyAlignment="1" applyProtection="1">
      <alignment vertical="center"/>
      <protection hidden="1"/>
    </xf>
    <xf numFmtId="171" fontId="24" fillId="0" borderId="14" xfId="1" applyNumberFormat="1" applyFont="1" applyBorder="1" applyAlignment="1">
      <alignment vertical="center"/>
    </xf>
    <xf numFmtId="171" fontId="27" fillId="0" borderId="14" xfId="0" applyNumberFormat="1" applyFont="1" applyBorder="1" applyAlignment="1">
      <alignment vertical="center"/>
    </xf>
    <xf numFmtId="171" fontId="24" fillId="0" borderId="15" xfId="0" applyNumberFormat="1" applyFont="1" applyBorder="1"/>
    <xf numFmtId="0" fontId="27" fillId="0" borderId="21" xfId="0" applyFont="1" applyBorder="1" applyAlignment="1">
      <alignment horizontal="center" vertical="center"/>
    </xf>
    <xf numFmtId="171" fontId="24" fillId="0" borderId="22" xfId="0" applyNumberFormat="1" applyFont="1" applyBorder="1"/>
    <xf numFmtId="0" fontId="26" fillId="0" borderId="29" xfId="0" applyFont="1" applyBorder="1" applyAlignment="1">
      <alignment horizontal="center" wrapText="1"/>
    </xf>
    <xf numFmtId="0" fontId="26" fillId="0" borderId="20" xfId="0" applyFont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26" fillId="0" borderId="17" xfId="0" applyFont="1" applyBorder="1"/>
    <xf numFmtId="171" fontId="27" fillId="17" borderId="17" xfId="1" applyNumberFormat="1" applyFont="1" applyFill="1" applyBorder="1"/>
    <xf numFmtId="0" fontId="26" fillId="0" borderId="18" xfId="0" applyFont="1" applyBorder="1"/>
    <xf numFmtId="0" fontId="6" fillId="0" borderId="30" xfId="0" applyFont="1" applyBorder="1" applyAlignment="1">
      <alignment vertical="center"/>
    </xf>
    <xf numFmtId="169" fontId="20" fillId="5" borderId="6" xfId="0" applyNumberFormat="1" applyFont="1" applyFill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171" fontId="24" fillId="5" borderId="6" xfId="1" applyNumberFormat="1" applyFont="1" applyFill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171" fontId="24" fillId="5" borderId="6" xfId="0" applyNumberFormat="1" applyFont="1" applyFill="1" applyBorder="1" applyAlignment="1">
      <alignment vertical="center"/>
    </xf>
    <xf numFmtId="171" fontId="24" fillId="0" borderId="6" xfId="1" applyNumberFormat="1" applyFont="1" applyFill="1" applyBorder="1" applyAlignment="1" applyProtection="1">
      <alignment vertical="center"/>
      <protection hidden="1"/>
    </xf>
    <xf numFmtId="171" fontId="24" fillId="0" borderId="6" xfId="1" applyNumberFormat="1" applyFont="1" applyBorder="1" applyAlignment="1">
      <alignment vertical="center"/>
    </xf>
    <xf numFmtId="171" fontId="27" fillId="0" borderId="6" xfId="0" applyNumberFormat="1" applyFont="1" applyBorder="1" applyAlignment="1">
      <alignment vertical="center"/>
    </xf>
    <xf numFmtId="171" fontId="24" fillId="0" borderId="29" xfId="0" applyNumberFormat="1" applyFont="1" applyBorder="1"/>
    <xf numFmtId="0" fontId="26" fillId="0" borderId="13" xfId="0" applyFont="1" applyBorder="1"/>
    <xf numFmtId="0" fontId="29" fillId="0" borderId="31" xfId="0" applyFont="1" applyBorder="1"/>
    <xf numFmtId="0" fontId="27" fillId="0" borderId="14" xfId="0" applyFont="1" applyBorder="1" applyAlignment="1">
      <alignment horizontal="center"/>
    </xf>
    <xf numFmtId="171" fontId="38" fillId="0" borderId="14" xfId="1" applyNumberFormat="1" applyFont="1" applyBorder="1"/>
    <xf numFmtId="0" fontId="27" fillId="0" borderId="14" xfId="0" applyFont="1" applyBorder="1"/>
    <xf numFmtId="171" fontId="27" fillId="0" borderId="15" xfId="1" applyNumberFormat="1" applyFont="1" applyBorder="1"/>
    <xf numFmtId="0" fontId="53" fillId="0" borderId="0" xfId="0" applyFont="1"/>
    <xf numFmtId="171" fontId="53" fillId="0" borderId="0" xfId="1" applyNumberFormat="1" applyFont="1"/>
    <xf numFmtId="0" fontId="53" fillId="0" borderId="0" xfId="0" applyFont="1" applyAlignment="1">
      <alignment horizontal="center"/>
    </xf>
    <xf numFmtId="171" fontId="18" fillId="5" borderId="0" xfId="1" applyNumberFormat="1" applyFont="1" applyFill="1"/>
    <xf numFmtId="164" fontId="53" fillId="0" borderId="0" xfId="1" applyNumberFormat="1" applyFont="1"/>
    <xf numFmtId="0" fontId="13" fillId="18" borderId="13" xfId="0" applyFont="1" applyFill="1" applyBorder="1" applyAlignment="1">
      <alignment horizontal="center" vertical="center"/>
    </xf>
    <xf numFmtId="0" fontId="54" fillId="18" borderId="14" xfId="0" applyFont="1" applyFill="1" applyBorder="1" applyAlignment="1">
      <alignment horizontal="center" vertical="center" wrapText="1"/>
    </xf>
    <xf numFmtId="0" fontId="54" fillId="18" borderId="14" xfId="0" applyFont="1" applyFill="1" applyBorder="1" applyAlignment="1">
      <alignment horizontal="center" vertical="center" wrapText="1"/>
    </xf>
    <xf numFmtId="0" fontId="54" fillId="18" borderId="14" xfId="0" applyFont="1" applyFill="1" applyBorder="1" applyAlignment="1">
      <alignment horizontal="center" vertical="center"/>
    </xf>
    <xf numFmtId="171" fontId="54" fillId="18" borderId="14" xfId="1" applyNumberFormat="1" applyFont="1" applyFill="1" applyBorder="1" applyAlignment="1">
      <alignment horizontal="center" vertical="center" wrapText="1"/>
    </xf>
    <xf numFmtId="0" fontId="54" fillId="18" borderId="24" xfId="0" applyFont="1" applyFill="1" applyBorder="1" applyAlignment="1">
      <alignment horizontal="center" vertical="center" wrapText="1"/>
    </xf>
    <xf numFmtId="0" fontId="55" fillId="18" borderId="24" xfId="0" applyFont="1" applyFill="1" applyBorder="1" applyAlignment="1">
      <alignment horizontal="center" vertical="center" wrapText="1"/>
    </xf>
    <xf numFmtId="174" fontId="54" fillId="18" borderId="14" xfId="1" applyNumberFormat="1" applyFont="1" applyFill="1" applyBorder="1" applyAlignment="1">
      <alignment horizontal="center" vertical="center" wrapText="1"/>
    </xf>
    <xf numFmtId="174" fontId="54" fillId="18" borderId="15" xfId="1" applyNumberFormat="1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171" fontId="54" fillId="0" borderId="0" xfId="1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13" fillId="18" borderId="30" xfId="0" applyFont="1" applyFill="1" applyBorder="1" applyAlignment="1">
      <alignment horizontal="center" vertical="center"/>
    </xf>
    <xf numFmtId="0" fontId="54" fillId="18" borderId="6" xfId="0" applyFont="1" applyFill="1" applyBorder="1" applyAlignment="1">
      <alignment horizontal="center" vertical="center" wrapText="1"/>
    </xf>
    <xf numFmtId="0" fontId="54" fillId="18" borderId="6" xfId="0" applyFont="1" applyFill="1" applyBorder="1" applyAlignment="1">
      <alignment horizontal="center" vertical="center" wrapText="1"/>
    </xf>
    <xf numFmtId="0" fontId="54" fillId="18" borderId="6" xfId="0" applyFont="1" applyFill="1" applyBorder="1" applyAlignment="1">
      <alignment horizontal="center" vertical="center"/>
    </xf>
    <xf numFmtId="171" fontId="54" fillId="18" borderId="6" xfId="1" applyNumberFormat="1" applyFont="1" applyFill="1" applyBorder="1" applyAlignment="1">
      <alignment horizontal="center" vertical="center" wrapText="1"/>
    </xf>
    <xf numFmtId="0" fontId="54" fillId="18" borderId="10" xfId="0" applyFont="1" applyFill="1" applyBorder="1" applyAlignment="1">
      <alignment horizontal="center" vertical="center" wrapText="1"/>
    </xf>
    <xf numFmtId="0" fontId="55" fillId="18" borderId="10" xfId="0" applyFont="1" applyFill="1" applyBorder="1" applyAlignment="1">
      <alignment horizontal="center" vertical="center" wrapText="1"/>
    </xf>
    <xf numFmtId="174" fontId="54" fillId="18" borderId="6" xfId="1" applyNumberFormat="1" applyFont="1" applyFill="1" applyBorder="1" applyAlignment="1">
      <alignment horizontal="center" vertical="center" wrapText="1"/>
    </xf>
    <xf numFmtId="171" fontId="54" fillId="18" borderId="6" xfId="1" applyNumberFormat="1" applyFont="1" applyFill="1" applyBorder="1" applyAlignment="1">
      <alignment horizontal="center" vertical="center" wrapText="1"/>
    </xf>
    <xf numFmtId="174" fontId="54" fillId="18" borderId="6" xfId="1" applyNumberFormat="1" applyFont="1" applyFill="1" applyBorder="1" applyAlignment="1">
      <alignment horizontal="center" vertical="center" wrapText="1"/>
    </xf>
    <xf numFmtId="174" fontId="54" fillId="18" borderId="29" xfId="1" applyNumberFormat="1" applyFont="1" applyFill="1" applyBorder="1" applyAlignment="1">
      <alignment horizontal="center" vertical="center" wrapText="1"/>
    </xf>
    <xf numFmtId="171" fontId="53" fillId="0" borderId="0" xfId="1" applyNumberFormat="1" applyFont="1" applyAlignment="1">
      <alignment vertical="center"/>
    </xf>
    <xf numFmtId="0" fontId="53" fillId="0" borderId="0" xfId="0" applyFont="1" applyAlignment="1">
      <alignment vertical="center"/>
    </xf>
    <xf numFmtId="171" fontId="54" fillId="0" borderId="1" xfId="1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171" fontId="53" fillId="0" borderId="0" xfId="1" applyNumberFormat="1" applyFont="1" applyFill="1" applyAlignment="1">
      <alignment vertical="center"/>
    </xf>
    <xf numFmtId="0" fontId="53" fillId="0" borderId="0" xfId="0" applyFont="1" applyFill="1" applyAlignment="1">
      <alignment vertical="center"/>
    </xf>
    <xf numFmtId="0" fontId="54" fillId="0" borderId="5" xfId="0" applyFont="1" applyFill="1" applyBorder="1" applyAlignment="1">
      <alignment horizontal="center" vertical="center" wrapText="1"/>
    </xf>
    <xf numFmtId="0" fontId="53" fillId="0" borderId="5" xfId="0" applyFont="1" applyBorder="1" applyAlignment="1">
      <alignment vertical="center"/>
    </xf>
    <xf numFmtId="171" fontId="54" fillId="0" borderId="5" xfId="1" applyNumberFormat="1" applyFont="1" applyFill="1" applyBorder="1" applyAlignment="1">
      <alignment horizontal="center" vertical="center" wrapText="1"/>
    </xf>
    <xf numFmtId="171" fontId="54" fillId="0" borderId="5" xfId="0" applyNumberFormat="1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174" fontId="54" fillId="0" borderId="5" xfId="1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71" fontId="53" fillId="0" borderId="1" xfId="1" applyNumberFormat="1" applyFont="1" applyFill="1" applyBorder="1" applyAlignment="1">
      <alignment horizontal="center" vertical="center" wrapText="1"/>
    </xf>
    <xf numFmtId="169" fontId="18" fillId="5" borderId="1" xfId="0" applyNumberFormat="1" applyFont="1" applyFill="1" applyBorder="1" applyAlignment="1">
      <alignment horizontal="left" vertical="center"/>
    </xf>
    <xf numFmtId="169" fontId="18" fillId="5" borderId="6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1" fontId="54" fillId="0" borderId="5" xfId="1" applyNumberFormat="1" applyFont="1" applyBorder="1" applyAlignment="1">
      <alignment vertical="center"/>
    </xf>
    <xf numFmtId="171" fontId="53" fillId="0" borderId="5" xfId="1" applyNumberFormat="1" applyFont="1" applyBorder="1" applyAlignment="1">
      <alignment vertical="center"/>
    </xf>
    <xf numFmtId="171" fontId="54" fillId="0" borderId="5" xfId="0" applyNumberFormat="1" applyFont="1" applyBorder="1" applyAlignment="1">
      <alignment horizontal="center" vertical="center"/>
    </xf>
    <xf numFmtId="171" fontId="53" fillId="0" borderId="5" xfId="0" applyNumberFormat="1" applyFont="1" applyBorder="1" applyAlignment="1">
      <alignment horizontal="center" vertical="center"/>
    </xf>
    <xf numFmtId="171" fontId="54" fillId="0" borderId="1" xfId="1" applyNumberFormat="1" applyFont="1" applyBorder="1" applyAlignment="1">
      <alignment vertical="center"/>
    </xf>
    <xf numFmtId="171" fontId="54" fillId="0" borderId="1" xfId="0" applyNumberFormat="1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1" xfId="0" applyFont="1" applyBorder="1" applyAlignment="1">
      <alignment vertical="center"/>
    </xf>
    <xf numFmtId="171" fontId="56" fillId="0" borderId="0" xfId="1" applyNumberFormat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171" fontId="18" fillId="0" borderId="0" xfId="1" applyNumberFormat="1" applyFont="1" applyAlignment="1">
      <alignment vertical="center"/>
    </xf>
    <xf numFmtId="0" fontId="57" fillId="0" borderId="0" xfId="0" applyFont="1" applyAlignment="1">
      <alignment vertical="center"/>
    </xf>
    <xf numFmtId="171" fontId="57" fillId="0" borderId="0" xfId="1" applyNumberFormat="1" applyFont="1" applyAlignment="1">
      <alignment vertical="center"/>
    </xf>
    <xf numFmtId="0" fontId="57" fillId="0" borderId="1" xfId="0" applyFont="1" applyBorder="1" applyAlignment="1">
      <alignment vertical="center"/>
    </xf>
    <xf numFmtId="0" fontId="57" fillId="0" borderId="1" xfId="0" applyFont="1" applyBorder="1" applyAlignment="1">
      <alignment horizontal="left" vertical="center"/>
    </xf>
    <xf numFmtId="174" fontId="53" fillId="0" borderId="5" xfId="1" applyNumberFormat="1" applyFont="1" applyFill="1" applyBorder="1" applyAlignment="1">
      <alignment horizontal="center" vertical="center" wrapText="1"/>
    </xf>
    <xf numFmtId="171" fontId="53" fillId="0" borderId="5" xfId="1" applyNumberFormat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/>
    </xf>
    <xf numFmtId="171" fontId="54" fillId="0" borderId="35" xfId="1" applyNumberFormat="1" applyFont="1" applyBorder="1"/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71" fontId="54" fillId="0" borderId="14" xfId="1" applyNumberFormat="1" applyFont="1" applyFill="1" applyBorder="1" applyAlignment="1">
      <alignment horizontal="center" vertical="center" wrapText="1"/>
    </xf>
    <xf numFmtId="171" fontId="54" fillId="0" borderId="15" xfId="1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/>
    </xf>
    <xf numFmtId="171" fontId="53" fillId="0" borderId="20" xfId="1" applyNumberFormat="1" applyFont="1" applyFill="1" applyBorder="1" applyAlignment="1" applyProtection="1">
      <alignment vertical="center"/>
      <protection hidden="1"/>
    </xf>
    <xf numFmtId="0" fontId="18" fillId="0" borderId="21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171" fontId="54" fillId="0" borderId="22" xfId="1" applyNumberFormat="1" applyFont="1" applyFill="1" applyBorder="1" applyAlignment="1">
      <alignment horizontal="center" vertical="center" wrapText="1"/>
    </xf>
    <xf numFmtId="171" fontId="53" fillId="0" borderId="22" xfId="1" applyNumberFormat="1" applyFont="1" applyFill="1" applyBorder="1" applyAlignment="1" applyProtection="1">
      <alignment vertical="center"/>
      <protection hidden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171" fontId="54" fillId="0" borderId="17" xfId="1" applyNumberFormat="1" applyFont="1" applyBorder="1" applyAlignment="1">
      <alignment vertical="center"/>
    </xf>
    <xf numFmtId="171" fontId="53" fillId="0" borderId="23" xfId="1" applyNumberFormat="1" applyFont="1" applyBorder="1" applyAlignment="1">
      <alignment vertical="center"/>
    </xf>
    <xf numFmtId="171" fontId="54" fillId="0" borderId="23" xfId="1" applyNumberFormat="1" applyFont="1" applyBorder="1" applyAlignment="1">
      <alignment vertical="center"/>
    </xf>
    <xf numFmtId="171" fontId="54" fillId="0" borderId="17" xfId="0" applyNumberFormat="1" applyFont="1" applyBorder="1" applyAlignment="1">
      <alignment horizontal="center" vertical="center"/>
    </xf>
    <xf numFmtId="171" fontId="53" fillId="0" borderId="23" xfId="0" applyNumberFormat="1" applyFont="1" applyBorder="1" applyAlignment="1">
      <alignment horizontal="center" vertical="center"/>
    </xf>
    <xf numFmtId="171" fontId="54" fillId="0" borderId="23" xfId="0" applyNumberFormat="1" applyFont="1" applyBorder="1" applyAlignment="1">
      <alignment horizontal="center" vertical="center"/>
    </xf>
    <xf numFmtId="171" fontId="53" fillId="0" borderId="18" xfId="1" applyNumberFormat="1" applyFont="1" applyFill="1" applyBorder="1" applyAlignment="1" applyProtection="1">
      <alignment vertical="center"/>
      <protection hidden="1"/>
    </xf>
    <xf numFmtId="171" fontId="54" fillId="17" borderId="35" xfId="1" applyNumberFormat="1" applyFont="1" applyFill="1" applyBorder="1"/>
    <xf numFmtId="171" fontId="54" fillId="0" borderId="35" xfId="1" applyNumberFormat="1" applyFont="1" applyFill="1" applyBorder="1"/>
    <xf numFmtId="171" fontId="54" fillId="17" borderId="36" xfId="1" applyNumberFormat="1" applyFont="1" applyFill="1" applyBorder="1"/>
    <xf numFmtId="174" fontId="47" fillId="17" borderId="1" xfId="1" applyNumberFormat="1" applyFont="1" applyFill="1" applyBorder="1"/>
  </cellXfs>
  <cellStyles count="3">
    <cellStyle name="Comma" xfId="1" builtinId="3"/>
    <cellStyle name="Normal" xfId="0" builtinId="0"/>
    <cellStyle name="Normal_Bang cham cong tu dong" xfId="2" xr:uid="{00000000-0005-0000-0000-000002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257675" y="44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</xdr:rowOff>
    </xdr:from>
    <xdr:to>
      <xdr:col>1</xdr:col>
      <xdr:colOff>476250</xdr:colOff>
      <xdr:row>3</xdr:row>
      <xdr:rowOff>89347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"/>
          <a:ext cx="714374" cy="603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133349</xdr:colOff>
      <xdr:row>3</xdr:row>
      <xdr:rowOff>89347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951872-FEDC-4CB5-A660-01891F3D1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"/>
          <a:ext cx="760094" cy="6837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h%20Hoang/Documents/Zalo%20Received%20Files/CH&#7844;M%20C&#212;NG%20T&#205;NH%20L&#431;&#416;NG%20TH&#193;NG%2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"/>
      <sheetName val="CHẤM CÔNG"/>
      <sheetName val="TÍNH LƯƠNG"/>
      <sheetName val="DS CNCT"/>
      <sheetName val="DSCNTV"/>
    </sheetNames>
    <sheetDataSet>
      <sheetData sheetId="0"/>
      <sheetData sheetId="1">
        <row r="7">
          <cell r="DS7">
            <v>0</v>
          </cell>
        </row>
        <row r="8">
          <cell r="DS8">
            <v>2.5</v>
          </cell>
        </row>
        <row r="9">
          <cell r="DS9">
            <v>0</v>
          </cell>
        </row>
        <row r="10">
          <cell r="DS10">
            <v>0</v>
          </cell>
        </row>
        <row r="11">
          <cell r="DS11">
            <v>0</v>
          </cell>
        </row>
        <row r="12">
          <cell r="DS12">
            <v>0</v>
          </cell>
        </row>
        <row r="13">
          <cell r="DS13">
            <v>0</v>
          </cell>
        </row>
        <row r="14">
          <cell r="DS14">
            <v>0</v>
          </cell>
        </row>
        <row r="15">
          <cell r="DS15">
            <v>0</v>
          </cell>
        </row>
        <row r="16">
          <cell r="DS16">
            <v>0</v>
          </cell>
        </row>
        <row r="17">
          <cell r="DS17">
            <v>0</v>
          </cell>
        </row>
        <row r="18">
          <cell r="DS18">
            <v>0</v>
          </cell>
        </row>
        <row r="19">
          <cell r="DS19">
            <v>0</v>
          </cell>
        </row>
        <row r="20">
          <cell r="DS20">
            <v>0</v>
          </cell>
        </row>
        <row r="21">
          <cell r="DS21">
            <v>0</v>
          </cell>
        </row>
        <row r="22">
          <cell r="DS22">
            <v>0</v>
          </cell>
        </row>
        <row r="23">
          <cell r="DS23">
            <v>1</v>
          </cell>
        </row>
        <row r="24">
          <cell r="DS24">
            <v>0</v>
          </cell>
        </row>
        <row r="25">
          <cell r="DS25">
            <v>0</v>
          </cell>
        </row>
        <row r="26">
          <cell r="DS26">
            <v>0</v>
          </cell>
        </row>
        <row r="27">
          <cell r="DS27">
            <v>0</v>
          </cell>
        </row>
        <row r="28">
          <cell r="DS28">
            <v>0</v>
          </cell>
        </row>
        <row r="29">
          <cell r="DS29">
            <v>0</v>
          </cell>
        </row>
        <row r="30">
          <cell r="DS30">
            <v>0</v>
          </cell>
        </row>
        <row r="31">
          <cell r="DS31">
            <v>0</v>
          </cell>
        </row>
        <row r="32">
          <cell r="DS32">
            <v>0</v>
          </cell>
        </row>
        <row r="33">
          <cell r="DS33">
            <v>0</v>
          </cell>
        </row>
        <row r="34">
          <cell r="DS34">
            <v>0</v>
          </cell>
        </row>
        <row r="35">
          <cell r="DS35">
            <v>0</v>
          </cell>
        </row>
        <row r="36">
          <cell r="DS36">
            <v>2</v>
          </cell>
        </row>
        <row r="37">
          <cell r="DS37">
            <v>2</v>
          </cell>
        </row>
        <row r="38">
          <cell r="DS38">
            <v>0</v>
          </cell>
        </row>
        <row r="39">
          <cell r="DS39">
            <v>0</v>
          </cell>
        </row>
        <row r="40">
          <cell r="DS40">
            <v>0</v>
          </cell>
        </row>
        <row r="41">
          <cell r="DS41">
            <v>0</v>
          </cell>
        </row>
        <row r="42">
          <cell r="DS42">
            <v>0</v>
          </cell>
        </row>
        <row r="43">
          <cell r="DS43">
            <v>0</v>
          </cell>
        </row>
        <row r="44">
          <cell r="DS44">
            <v>0</v>
          </cell>
        </row>
        <row r="45">
          <cell r="DS45">
            <v>0</v>
          </cell>
        </row>
        <row r="46">
          <cell r="DS46">
            <v>0</v>
          </cell>
        </row>
        <row r="47">
          <cell r="DS47">
            <v>0</v>
          </cell>
        </row>
        <row r="48">
          <cell r="DS48">
            <v>0</v>
          </cell>
        </row>
        <row r="49">
          <cell r="DS49">
            <v>0</v>
          </cell>
        </row>
        <row r="50">
          <cell r="DS50">
            <v>0</v>
          </cell>
        </row>
        <row r="51">
          <cell r="DS51">
            <v>0</v>
          </cell>
        </row>
        <row r="52">
          <cell r="DS52">
            <v>0</v>
          </cell>
        </row>
        <row r="53">
          <cell r="DS53">
            <v>0</v>
          </cell>
        </row>
        <row r="54">
          <cell r="DS54">
            <v>0</v>
          </cell>
        </row>
        <row r="55">
          <cell r="DS55">
            <v>0</v>
          </cell>
        </row>
        <row r="56">
          <cell r="DS56">
            <v>0</v>
          </cell>
        </row>
        <row r="57">
          <cell r="DS57">
            <v>0</v>
          </cell>
        </row>
        <row r="58">
          <cell r="DS58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55"/>
  <sheetViews>
    <sheetView topLeftCell="A10" workbookViewId="0">
      <selection activeCell="Q31" sqref="Q31"/>
    </sheetView>
  </sheetViews>
  <sheetFormatPr defaultRowHeight="15" x14ac:dyDescent="0.25"/>
  <cols>
    <col min="1" max="1" width="31.42578125" customWidth="1"/>
    <col min="2" max="46" width="4.5703125" customWidth="1"/>
    <col min="47" max="47" width="7.42578125" customWidth="1"/>
    <col min="48" max="49" width="7.140625" customWidth="1"/>
  </cols>
  <sheetData>
    <row r="2" spans="1:49" x14ac:dyDescent="0.25">
      <c r="A2" s="44" t="s">
        <v>94</v>
      </c>
      <c r="B2" s="178">
        <v>1</v>
      </c>
      <c r="C2" s="178"/>
      <c r="D2" s="178">
        <v>2</v>
      </c>
      <c r="E2" s="178"/>
      <c r="F2" s="178">
        <v>3</v>
      </c>
      <c r="G2" s="178"/>
      <c r="H2" s="47">
        <v>4</v>
      </c>
      <c r="I2" s="178">
        <v>5</v>
      </c>
      <c r="J2" s="178"/>
      <c r="K2" s="178">
        <v>6</v>
      </c>
      <c r="L2" s="178"/>
      <c r="M2" s="178">
        <v>7</v>
      </c>
      <c r="N2" s="178"/>
      <c r="O2" s="178">
        <v>8</v>
      </c>
      <c r="P2" s="178"/>
      <c r="Q2" s="178">
        <v>14</v>
      </c>
      <c r="R2" s="178"/>
      <c r="S2" s="178">
        <v>15</v>
      </c>
      <c r="T2" s="178"/>
      <c r="U2" s="178">
        <v>16</v>
      </c>
      <c r="V2" s="178"/>
      <c r="W2" s="178">
        <v>17</v>
      </c>
      <c r="X2" s="178"/>
      <c r="Y2" s="47">
        <v>18</v>
      </c>
      <c r="Z2" s="178">
        <v>19</v>
      </c>
      <c r="AA2" s="178"/>
      <c r="AB2" s="178">
        <v>20</v>
      </c>
      <c r="AC2" s="178"/>
      <c r="AD2" s="178">
        <v>21</v>
      </c>
      <c r="AE2" s="178"/>
      <c r="AF2" s="178">
        <v>22</v>
      </c>
      <c r="AG2" s="178"/>
      <c r="AH2" s="178">
        <v>23</v>
      </c>
      <c r="AI2" s="178"/>
      <c r="AJ2" s="178">
        <v>24</v>
      </c>
      <c r="AK2" s="178"/>
      <c r="AL2" s="47">
        <v>25</v>
      </c>
      <c r="AM2" s="178">
        <v>26</v>
      </c>
      <c r="AN2" s="178"/>
      <c r="AO2" s="178">
        <v>27</v>
      </c>
      <c r="AP2" s="178"/>
      <c r="AQ2" s="178">
        <v>28</v>
      </c>
      <c r="AR2" s="178"/>
      <c r="AS2" s="178">
        <v>29</v>
      </c>
      <c r="AT2" s="178"/>
      <c r="AU2" s="179" t="s">
        <v>95</v>
      </c>
      <c r="AV2" s="180"/>
      <c r="AW2" s="180"/>
    </row>
    <row r="3" spans="1:49" x14ac:dyDescent="0.25">
      <c r="A3" s="44" t="s">
        <v>93</v>
      </c>
      <c r="B3" s="45" t="s">
        <v>91</v>
      </c>
      <c r="C3" s="45" t="s">
        <v>92</v>
      </c>
      <c r="D3" s="45" t="s">
        <v>91</v>
      </c>
      <c r="E3" s="45" t="s">
        <v>92</v>
      </c>
      <c r="F3" s="45" t="s">
        <v>91</v>
      </c>
      <c r="G3" s="45" t="s">
        <v>92</v>
      </c>
      <c r="H3" s="46" t="s">
        <v>32</v>
      </c>
      <c r="I3" s="45" t="s">
        <v>91</v>
      </c>
      <c r="J3" s="45" t="s">
        <v>92</v>
      </c>
      <c r="K3" s="45" t="s">
        <v>91</v>
      </c>
      <c r="L3" s="45" t="s">
        <v>92</v>
      </c>
      <c r="M3" s="45" t="s">
        <v>91</v>
      </c>
      <c r="N3" s="45" t="s">
        <v>92</v>
      </c>
      <c r="O3" s="45" t="s">
        <v>91</v>
      </c>
      <c r="P3" s="45" t="s">
        <v>92</v>
      </c>
      <c r="Q3" s="45" t="s">
        <v>91</v>
      </c>
      <c r="R3" s="45" t="s">
        <v>92</v>
      </c>
      <c r="S3" s="45" t="s">
        <v>91</v>
      </c>
      <c r="T3" s="45" t="s">
        <v>92</v>
      </c>
      <c r="U3" s="45" t="s">
        <v>91</v>
      </c>
      <c r="V3" s="45" t="s">
        <v>92</v>
      </c>
      <c r="W3" s="45" t="s">
        <v>91</v>
      </c>
      <c r="X3" s="45" t="s">
        <v>92</v>
      </c>
      <c r="Y3" s="46" t="s">
        <v>32</v>
      </c>
      <c r="Z3" s="45" t="s">
        <v>91</v>
      </c>
      <c r="AA3" s="45" t="s">
        <v>92</v>
      </c>
      <c r="AB3" s="45" t="s">
        <v>91</v>
      </c>
      <c r="AC3" s="45" t="s">
        <v>92</v>
      </c>
      <c r="AD3" s="45" t="s">
        <v>91</v>
      </c>
      <c r="AE3" s="45" t="s">
        <v>92</v>
      </c>
      <c r="AF3" s="45" t="s">
        <v>91</v>
      </c>
      <c r="AG3" s="45" t="s">
        <v>92</v>
      </c>
      <c r="AH3" s="45" t="s">
        <v>91</v>
      </c>
      <c r="AI3" s="45" t="s">
        <v>92</v>
      </c>
      <c r="AJ3" s="45" t="s">
        <v>91</v>
      </c>
      <c r="AK3" s="45" t="s">
        <v>92</v>
      </c>
      <c r="AL3" s="46" t="s">
        <v>32</v>
      </c>
      <c r="AM3" s="45" t="s">
        <v>91</v>
      </c>
      <c r="AN3" s="45" t="s">
        <v>92</v>
      </c>
      <c r="AO3" s="45" t="s">
        <v>91</v>
      </c>
      <c r="AP3" s="45" t="s">
        <v>92</v>
      </c>
      <c r="AQ3" s="45" t="s">
        <v>91</v>
      </c>
      <c r="AR3" s="45" t="s">
        <v>92</v>
      </c>
      <c r="AS3" s="45" t="s">
        <v>91</v>
      </c>
      <c r="AT3" s="45" t="s">
        <v>92</v>
      </c>
      <c r="AU3" s="48" t="s">
        <v>91</v>
      </c>
      <c r="AV3" s="48" t="s">
        <v>92</v>
      </c>
      <c r="AW3" s="96" t="s">
        <v>192</v>
      </c>
    </row>
    <row r="4" spans="1:49" x14ac:dyDescent="0.25">
      <c r="A4" s="26" t="s">
        <v>39</v>
      </c>
      <c r="B4" s="26">
        <v>1</v>
      </c>
      <c r="C4" s="26"/>
      <c r="D4" s="26">
        <v>4.5</v>
      </c>
      <c r="E4" s="26"/>
      <c r="F4" s="26">
        <v>4.5</v>
      </c>
      <c r="G4" s="26"/>
      <c r="H4" s="43">
        <v>9.5</v>
      </c>
      <c r="I4" s="26">
        <v>1.5</v>
      </c>
      <c r="J4" s="26"/>
      <c r="K4" s="26">
        <v>4.5</v>
      </c>
      <c r="L4" s="26">
        <v>2</v>
      </c>
      <c r="M4" s="26">
        <v>3.5</v>
      </c>
      <c r="N4" s="26"/>
      <c r="O4" s="26"/>
      <c r="P4" s="26"/>
      <c r="Q4" s="26">
        <v>1.5</v>
      </c>
      <c r="R4" s="26"/>
      <c r="S4" s="26">
        <v>1</v>
      </c>
      <c r="T4" s="26"/>
      <c r="U4" s="26">
        <v>1</v>
      </c>
      <c r="V4" s="26"/>
      <c r="W4" s="26">
        <v>3.5</v>
      </c>
      <c r="X4" s="26"/>
      <c r="Y4" s="43">
        <v>8</v>
      </c>
      <c r="Z4" s="26">
        <v>1.5</v>
      </c>
      <c r="AA4" s="26"/>
      <c r="AB4" s="26">
        <v>2</v>
      </c>
      <c r="AC4" s="26"/>
      <c r="AD4" s="26">
        <v>2.5</v>
      </c>
      <c r="AE4" s="26"/>
      <c r="AF4" s="26">
        <v>3</v>
      </c>
      <c r="AG4" s="26"/>
      <c r="AH4" s="26">
        <v>3.5</v>
      </c>
      <c r="AI4" s="26"/>
      <c r="AJ4" s="26">
        <v>4.5</v>
      </c>
      <c r="AK4" s="26"/>
      <c r="AL4" s="43"/>
      <c r="AM4" s="26"/>
      <c r="AN4" s="26"/>
      <c r="AO4" s="26">
        <v>4.5</v>
      </c>
      <c r="AP4" s="26"/>
      <c r="AQ4" s="26">
        <v>4.5</v>
      </c>
      <c r="AR4" s="26">
        <v>0.5</v>
      </c>
      <c r="AS4" s="26">
        <v>3</v>
      </c>
      <c r="AT4" s="26"/>
      <c r="AU4" s="49">
        <f>+SUMIFS(B4:AT4,$B$3:$AT$3,$AU$3)</f>
        <v>55.5</v>
      </c>
      <c r="AV4" s="49">
        <f>+SUMIFS(B4:AT4,$B$3:$AT$3,$AV$3)</f>
        <v>2.5</v>
      </c>
      <c r="AW4" s="49">
        <f>+H4+Y4+AL4</f>
        <v>17.5</v>
      </c>
    </row>
    <row r="5" spans="1:49" x14ac:dyDescent="0.25">
      <c r="A5" s="26" t="s">
        <v>40</v>
      </c>
      <c r="B5" s="26">
        <v>1</v>
      </c>
      <c r="C5" s="26"/>
      <c r="D5" s="26">
        <v>0.5</v>
      </c>
      <c r="E5" s="26"/>
      <c r="F5" s="26">
        <v>4</v>
      </c>
      <c r="G5" s="26"/>
      <c r="H5" s="43">
        <v>4</v>
      </c>
      <c r="I5" s="26"/>
      <c r="J5" s="26"/>
      <c r="K5" s="26">
        <v>4.5</v>
      </c>
      <c r="L5" s="26">
        <v>1</v>
      </c>
      <c r="M5" s="26">
        <v>3</v>
      </c>
      <c r="N5" s="26"/>
      <c r="O5" s="26"/>
      <c r="P5" s="26"/>
      <c r="Q5" s="26"/>
      <c r="R5" s="26"/>
      <c r="S5" s="26">
        <v>1</v>
      </c>
      <c r="T5" s="26"/>
      <c r="U5" s="26">
        <v>1</v>
      </c>
      <c r="V5" s="26"/>
      <c r="W5" s="26">
        <v>3.5</v>
      </c>
      <c r="X5" s="26"/>
      <c r="Y5" s="43">
        <v>8</v>
      </c>
      <c r="Z5" s="26"/>
      <c r="AA5" s="26"/>
      <c r="AB5" s="26"/>
      <c r="AC5" s="26"/>
      <c r="AD5" s="26">
        <v>2.5</v>
      </c>
      <c r="AE5" s="26"/>
      <c r="AF5" s="26">
        <v>3</v>
      </c>
      <c r="AG5" s="26"/>
      <c r="AH5" s="26">
        <v>3.5</v>
      </c>
      <c r="AI5" s="26"/>
      <c r="AJ5" s="26">
        <v>4.5</v>
      </c>
      <c r="AK5" s="26"/>
      <c r="AL5" s="43"/>
      <c r="AM5" s="26"/>
      <c r="AN5" s="26"/>
      <c r="AO5" s="26">
        <v>4.5</v>
      </c>
      <c r="AP5" s="26">
        <v>0.5</v>
      </c>
      <c r="AQ5" s="26">
        <v>4.5</v>
      </c>
      <c r="AR5" s="26">
        <v>0.5</v>
      </c>
      <c r="AS5" s="26">
        <v>4</v>
      </c>
      <c r="AT5" s="26"/>
      <c r="AU5" s="49">
        <f>+SUMIFS(B5:AT5,$B$3:$AT$3,$AU$3)</f>
        <v>45</v>
      </c>
      <c r="AV5" s="49">
        <f t="shared" ref="AV5:AV55" si="0">+SUMIFS(B5:AT5,$B$3:$AT$3,$AV$3)</f>
        <v>2</v>
      </c>
      <c r="AW5" s="49">
        <f t="shared" ref="AW5:AW55" si="1">+H5+Y5+AL5</f>
        <v>12</v>
      </c>
    </row>
    <row r="6" spans="1:49" x14ac:dyDescent="0.25">
      <c r="A6" s="26" t="s">
        <v>41</v>
      </c>
      <c r="B6" s="26">
        <v>1</v>
      </c>
      <c r="C6" s="26"/>
      <c r="D6" s="26">
        <v>0.5</v>
      </c>
      <c r="E6" s="26"/>
      <c r="F6" s="26">
        <v>4</v>
      </c>
      <c r="G6" s="26"/>
      <c r="H6" s="43">
        <v>4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>
        <v>1</v>
      </c>
      <c r="T6" s="26"/>
      <c r="U6" s="26">
        <v>1</v>
      </c>
      <c r="V6" s="26"/>
      <c r="W6" s="26">
        <v>3.5</v>
      </c>
      <c r="X6" s="26"/>
      <c r="Y6" s="43">
        <v>8</v>
      </c>
      <c r="Z6" s="26"/>
      <c r="AA6" s="26"/>
      <c r="AB6" s="26"/>
      <c r="AC6" s="26"/>
      <c r="AD6" s="26">
        <v>2.5</v>
      </c>
      <c r="AE6" s="26"/>
      <c r="AF6" s="26">
        <v>3</v>
      </c>
      <c r="AG6" s="26"/>
      <c r="AH6" s="26">
        <v>3.5</v>
      </c>
      <c r="AI6" s="26"/>
      <c r="AJ6" s="26">
        <v>4.5</v>
      </c>
      <c r="AK6" s="26"/>
      <c r="AL6" s="43"/>
      <c r="AM6" s="26"/>
      <c r="AN6" s="26"/>
      <c r="AO6" s="26">
        <v>4.5</v>
      </c>
      <c r="AP6" s="26">
        <v>0.5</v>
      </c>
      <c r="AQ6" s="26">
        <v>4.5</v>
      </c>
      <c r="AR6" s="26">
        <v>0.5</v>
      </c>
      <c r="AS6" s="26">
        <v>4</v>
      </c>
      <c r="AT6" s="26"/>
      <c r="AU6" s="49">
        <f t="shared" ref="AU6:AU55" si="2">+SUMIFS(B6:AT6,$B$3:$AT$3,$AU$3)</f>
        <v>37.5</v>
      </c>
      <c r="AV6" s="49">
        <f t="shared" si="0"/>
        <v>1</v>
      </c>
      <c r="AW6" s="49">
        <f t="shared" si="1"/>
        <v>12</v>
      </c>
    </row>
    <row r="7" spans="1:49" x14ac:dyDescent="0.25">
      <c r="A7" s="26" t="s">
        <v>42</v>
      </c>
      <c r="B7" s="26">
        <v>1</v>
      </c>
      <c r="C7" s="26"/>
      <c r="D7" s="26"/>
      <c r="E7" s="26"/>
      <c r="F7" s="26"/>
      <c r="G7" s="26"/>
      <c r="H7" s="43"/>
      <c r="I7" s="26"/>
      <c r="J7" s="26"/>
      <c r="K7" s="26"/>
      <c r="L7" s="26"/>
      <c r="M7" s="26"/>
      <c r="N7" s="26"/>
      <c r="O7" s="26"/>
      <c r="P7" s="26"/>
      <c r="Q7" s="26">
        <v>1.5</v>
      </c>
      <c r="R7" s="26"/>
      <c r="S7" s="26">
        <v>1</v>
      </c>
      <c r="T7" s="26"/>
      <c r="U7" s="26">
        <v>1</v>
      </c>
      <c r="V7" s="26"/>
      <c r="W7" s="26">
        <v>1</v>
      </c>
      <c r="X7" s="26"/>
      <c r="Y7" s="43"/>
      <c r="Z7" s="26">
        <v>3</v>
      </c>
      <c r="AA7" s="26"/>
      <c r="AB7" s="26"/>
      <c r="AC7" s="26"/>
      <c r="AD7" s="26">
        <v>2.5</v>
      </c>
      <c r="AE7" s="26"/>
      <c r="AF7" s="26">
        <v>4</v>
      </c>
      <c r="AG7" s="26"/>
      <c r="AH7" s="26">
        <v>3.5</v>
      </c>
      <c r="AI7" s="26"/>
      <c r="AJ7" s="26">
        <v>4</v>
      </c>
      <c r="AK7" s="26"/>
      <c r="AL7" s="43">
        <v>8</v>
      </c>
      <c r="AM7" s="26"/>
      <c r="AN7" s="26"/>
      <c r="AO7" s="26">
        <v>4</v>
      </c>
      <c r="AP7" s="26"/>
      <c r="AQ7" s="26">
        <v>4</v>
      </c>
      <c r="AR7" s="26"/>
      <c r="AS7" s="26">
        <v>3.5</v>
      </c>
      <c r="AT7" s="26"/>
      <c r="AU7" s="49">
        <f t="shared" si="2"/>
        <v>34</v>
      </c>
      <c r="AV7" s="49">
        <f t="shared" si="0"/>
        <v>0</v>
      </c>
      <c r="AW7" s="49">
        <f t="shared" si="1"/>
        <v>8</v>
      </c>
    </row>
    <row r="8" spans="1:49" x14ac:dyDescent="0.25">
      <c r="A8" s="26" t="s">
        <v>43</v>
      </c>
      <c r="B8" s="26">
        <v>1</v>
      </c>
      <c r="C8" s="26"/>
      <c r="D8" s="26"/>
      <c r="E8" s="26"/>
      <c r="F8" s="26"/>
      <c r="G8" s="26"/>
      <c r="H8" s="43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4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43"/>
      <c r="AM8" s="26"/>
      <c r="AN8" s="26"/>
      <c r="AO8" s="26"/>
      <c r="AP8" s="26"/>
      <c r="AQ8" s="26"/>
      <c r="AR8" s="26"/>
      <c r="AS8" s="26"/>
      <c r="AT8" s="26"/>
      <c r="AU8" s="49">
        <f t="shared" si="2"/>
        <v>1</v>
      </c>
      <c r="AV8" s="49">
        <f t="shared" si="0"/>
        <v>0</v>
      </c>
      <c r="AW8" s="49">
        <f t="shared" si="1"/>
        <v>0</v>
      </c>
    </row>
    <row r="9" spans="1:49" x14ac:dyDescent="0.25">
      <c r="A9" s="26" t="s">
        <v>44</v>
      </c>
      <c r="B9" s="26">
        <v>1</v>
      </c>
      <c r="C9" s="26"/>
      <c r="D9" s="26"/>
      <c r="E9" s="26"/>
      <c r="F9" s="26"/>
      <c r="G9" s="26"/>
      <c r="H9" s="43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4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43"/>
      <c r="AM9" s="26"/>
      <c r="AN9" s="26"/>
      <c r="AO9" s="26"/>
      <c r="AP9" s="26"/>
      <c r="AQ9" s="26"/>
      <c r="AR9" s="26"/>
      <c r="AS9" s="26"/>
      <c r="AT9" s="26"/>
      <c r="AU9" s="49">
        <f t="shared" si="2"/>
        <v>1</v>
      </c>
      <c r="AV9" s="49">
        <f t="shared" si="0"/>
        <v>0</v>
      </c>
      <c r="AW9" s="49">
        <f t="shared" si="1"/>
        <v>0</v>
      </c>
    </row>
    <row r="10" spans="1:49" x14ac:dyDescent="0.25">
      <c r="A10" s="26" t="s">
        <v>45</v>
      </c>
      <c r="B10" s="26">
        <v>1</v>
      </c>
      <c r="C10" s="26"/>
      <c r="D10" s="26">
        <v>0.5</v>
      </c>
      <c r="E10" s="26"/>
      <c r="F10" s="26"/>
      <c r="G10" s="26"/>
      <c r="H10" s="43"/>
      <c r="I10" s="26"/>
      <c r="J10" s="26"/>
      <c r="K10" s="26"/>
      <c r="L10" s="26"/>
      <c r="M10" s="26">
        <v>3</v>
      </c>
      <c r="N10" s="26"/>
      <c r="O10" s="26"/>
      <c r="P10" s="26"/>
      <c r="Q10" s="26"/>
      <c r="R10" s="26"/>
      <c r="S10" s="26"/>
      <c r="T10" s="26"/>
      <c r="U10" s="26">
        <v>1</v>
      </c>
      <c r="V10" s="26"/>
      <c r="W10" s="26"/>
      <c r="X10" s="26"/>
      <c r="Y10" s="43">
        <v>8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43"/>
      <c r="AM10" s="26"/>
      <c r="AN10" s="26"/>
      <c r="AO10" s="26"/>
      <c r="AP10" s="26"/>
      <c r="AQ10" s="26"/>
      <c r="AR10" s="26"/>
      <c r="AS10" s="26"/>
      <c r="AT10" s="26"/>
      <c r="AU10" s="49">
        <f t="shared" si="2"/>
        <v>5.5</v>
      </c>
      <c r="AV10" s="49">
        <f t="shared" si="0"/>
        <v>0</v>
      </c>
      <c r="AW10" s="49">
        <f t="shared" si="1"/>
        <v>8</v>
      </c>
    </row>
    <row r="11" spans="1:49" x14ac:dyDescent="0.25">
      <c r="A11" s="26" t="s">
        <v>46</v>
      </c>
      <c r="B11" s="26">
        <v>1</v>
      </c>
      <c r="C11" s="26"/>
      <c r="D11" s="26">
        <v>0.5</v>
      </c>
      <c r="E11" s="26"/>
      <c r="F11" s="26"/>
      <c r="G11" s="26"/>
      <c r="H11" s="43">
        <v>8</v>
      </c>
      <c r="I11" s="26">
        <v>2.5</v>
      </c>
      <c r="J11" s="26"/>
      <c r="K11" s="26">
        <v>2.5</v>
      </c>
      <c r="L11" s="26"/>
      <c r="M11" s="26">
        <v>3</v>
      </c>
      <c r="N11" s="26"/>
      <c r="O11" s="26"/>
      <c r="P11" s="26"/>
      <c r="Q11" s="26">
        <v>1.5</v>
      </c>
      <c r="R11" s="26"/>
      <c r="S11" s="26">
        <v>1</v>
      </c>
      <c r="T11" s="26"/>
      <c r="U11" s="26">
        <v>1</v>
      </c>
      <c r="V11" s="26"/>
      <c r="W11" s="26">
        <v>3.5</v>
      </c>
      <c r="X11" s="26"/>
      <c r="Y11" s="43">
        <v>8</v>
      </c>
      <c r="Z11" s="26">
        <v>0.5</v>
      </c>
      <c r="AA11" s="26"/>
      <c r="AB11" s="26">
        <v>1.5</v>
      </c>
      <c r="AC11" s="26"/>
      <c r="AD11" s="26">
        <v>3.5</v>
      </c>
      <c r="AE11" s="26"/>
      <c r="AF11" s="26">
        <v>3.5</v>
      </c>
      <c r="AG11" s="26"/>
      <c r="AH11" s="26">
        <v>5</v>
      </c>
      <c r="AI11" s="26"/>
      <c r="AJ11" s="26"/>
      <c r="AK11" s="26"/>
      <c r="AL11" s="43">
        <v>8</v>
      </c>
      <c r="AM11" s="26">
        <v>3.5</v>
      </c>
      <c r="AN11" s="26"/>
      <c r="AO11" s="26">
        <v>3.5</v>
      </c>
      <c r="AP11" s="26"/>
      <c r="AQ11" s="26">
        <v>4.5</v>
      </c>
      <c r="AR11" s="26"/>
      <c r="AS11" s="26">
        <v>4</v>
      </c>
      <c r="AT11" s="26"/>
      <c r="AU11" s="49">
        <f t="shared" si="2"/>
        <v>46</v>
      </c>
      <c r="AV11" s="49">
        <f t="shared" si="0"/>
        <v>0</v>
      </c>
      <c r="AW11" s="49">
        <f t="shared" si="1"/>
        <v>24</v>
      </c>
    </row>
    <row r="12" spans="1:49" x14ac:dyDescent="0.25">
      <c r="A12" s="26" t="s">
        <v>47</v>
      </c>
      <c r="B12" s="26">
        <v>1</v>
      </c>
      <c r="C12" s="26"/>
      <c r="D12" s="26">
        <v>0.5</v>
      </c>
      <c r="E12" s="26"/>
      <c r="F12" s="26">
        <v>4</v>
      </c>
      <c r="G12" s="26"/>
      <c r="H12" s="43">
        <v>8</v>
      </c>
      <c r="I12" s="26">
        <v>2.5</v>
      </c>
      <c r="J12" s="26"/>
      <c r="K12" s="26">
        <v>4.5</v>
      </c>
      <c r="L12" s="26">
        <v>2</v>
      </c>
      <c r="M12" s="26"/>
      <c r="N12" s="26"/>
      <c r="O12" s="26"/>
      <c r="P12" s="26"/>
      <c r="Q12" s="26">
        <v>2.5</v>
      </c>
      <c r="R12" s="26"/>
      <c r="S12" s="26">
        <v>1</v>
      </c>
      <c r="T12" s="26"/>
      <c r="U12" s="26">
        <v>1</v>
      </c>
      <c r="V12" s="26"/>
      <c r="W12" s="26">
        <v>3.5</v>
      </c>
      <c r="X12" s="26"/>
      <c r="Y12" s="43">
        <v>8</v>
      </c>
      <c r="Z12" s="26">
        <v>0.5</v>
      </c>
      <c r="AA12" s="26"/>
      <c r="AB12" s="26">
        <v>2.5</v>
      </c>
      <c r="AC12" s="26"/>
      <c r="AD12" s="26">
        <v>2.5</v>
      </c>
      <c r="AE12" s="26"/>
      <c r="AF12" s="26">
        <v>4</v>
      </c>
      <c r="AG12" s="26"/>
      <c r="AH12" s="26">
        <v>3.5</v>
      </c>
      <c r="AI12" s="26"/>
      <c r="AJ12" s="26">
        <v>4.5</v>
      </c>
      <c r="AK12" s="26"/>
      <c r="AL12" s="43">
        <v>8</v>
      </c>
      <c r="AM12" s="26">
        <v>3.5</v>
      </c>
      <c r="AN12" s="26"/>
      <c r="AO12" s="26">
        <v>4.5</v>
      </c>
      <c r="AP12" s="26">
        <v>0.5</v>
      </c>
      <c r="AQ12" s="26">
        <v>4.5</v>
      </c>
      <c r="AR12" s="26">
        <v>0.5</v>
      </c>
      <c r="AS12" s="26">
        <v>4</v>
      </c>
      <c r="AT12" s="26"/>
      <c r="AU12" s="49">
        <f t="shared" si="2"/>
        <v>54.5</v>
      </c>
      <c r="AV12" s="49">
        <f t="shared" si="0"/>
        <v>3</v>
      </c>
      <c r="AW12" s="49">
        <f t="shared" si="1"/>
        <v>24</v>
      </c>
    </row>
    <row r="13" spans="1:49" x14ac:dyDescent="0.25">
      <c r="A13" s="26" t="s">
        <v>48</v>
      </c>
      <c r="B13" s="26">
        <v>1</v>
      </c>
      <c r="C13" s="26"/>
      <c r="D13" s="26">
        <v>0.5</v>
      </c>
      <c r="E13" s="26"/>
      <c r="F13" s="26">
        <v>4</v>
      </c>
      <c r="G13" s="26"/>
      <c r="H13" s="43">
        <v>8</v>
      </c>
      <c r="I13" s="26">
        <v>2.5</v>
      </c>
      <c r="J13" s="26"/>
      <c r="K13" s="26">
        <v>4.5</v>
      </c>
      <c r="L13" s="26">
        <v>2</v>
      </c>
      <c r="M13" s="26"/>
      <c r="N13" s="26"/>
      <c r="O13" s="26"/>
      <c r="P13" s="26"/>
      <c r="Q13" s="26">
        <v>2.5</v>
      </c>
      <c r="R13" s="26"/>
      <c r="S13" s="26">
        <v>4</v>
      </c>
      <c r="T13" s="26"/>
      <c r="U13" s="26">
        <v>5.5</v>
      </c>
      <c r="V13" s="26"/>
      <c r="W13" s="26">
        <v>3.5</v>
      </c>
      <c r="X13" s="26"/>
      <c r="Y13" s="43">
        <v>8</v>
      </c>
      <c r="Z13" s="26">
        <v>3</v>
      </c>
      <c r="AA13" s="26"/>
      <c r="AB13" s="26">
        <v>2.5</v>
      </c>
      <c r="AC13" s="26"/>
      <c r="AD13" s="26">
        <v>3.5</v>
      </c>
      <c r="AE13" s="26"/>
      <c r="AF13" s="26">
        <v>4</v>
      </c>
      <c r="AG13" s="26"/>
      <c r="AH13" s="26">
        <v>3.5</v>
      </c>
      <c r="AI13" s="26"/>
      <c r="AJ13" s="26">
        <v>4.5</v>
      </c>
      <c r="AK13" s="26"/>
      <c r="AL13" s="43">
        <v>8</v>
      </c>
      <c r="AM13" s="26">
        <v>4.5</v>
      </c>
      <c r="AN13" s="26"/>
      <c r="AO13" s="26">
        <v>4.5</v>
      </c>
      <c r="AP13" s="26">
        <v>1</v>
      </c>
      <c r="AQ13" s="26">
        <v>4.5</v>
      </c>
      <c r="AR13" s="26">
        <v>0.5</v>
      </c>
      <c r="AS13" s="26">
        <v>4.5</v>
      </c>
      <c r="AT13" s="26">
        <v>0.5</v>
      </c>
      <c r="AU13" s="49">
        <f t="shared" si="2"/>
        <v>67</v>
      </c>
      <c r="AV13" s="49">
        <f t="shared" si="0"/>
        <v>4</v>
      </c>
      <c r="AW13" s="49">
        <f t="shared" si="1"/>
        <v>24</v>
      </c>
    </row>
    <row r="14" spans="1:49" x14ac:dyDescent="0.25">
      <c r="A14" s="26" t="s">
        <v>49</v>
      </c>
      <c r="B14" s="26">
        <v>1</v>
      </c>
      <c r="C14" s="26"/>
      <c r="D14" s="26">
        <v>0.5</v>
      </c>
      <c r="E14" s="26"/>
      <c r="F14" s="26">
        <v>4.5</v>
      </c>
      <c r="G14" s="26"/>
      <c r="H14" s="43">
        <v>8</v>
      </c>
      <c r="I14" s="26"/>
      <c r="J14" s="26"/>
      <c r="K14" s="26">
        <v>4.5</v>
      </c>
      <c r="L14" s="26">
        <v>1</v>
      </c>
      <c r="M14" s="26">
        <v>3</v>
      </c>
      <c r="N14" s="26"/>
      <c r="O14" s="26"/>
      <c r="P14" s="26"/>
      <c r="Q14" s="26">
        <v>1.5</v>
      </c>
      <c r="R14" s="26"/>
      <c r="S14" s="26">
        <v>1</v>
      </c>
      <c r="T14" s="26"/>
      <c r="U14" s="26">
        <v>4.5</v>
      </c>
      <c r="V14" s="26"/>
      <c r="W14" s="26"/>
      <c r="X14" s="26"/>
      <c r="Y14" s="43"/>
      <c r="Z14" s="26">
        <v>2.5</v>
      </c>
      <c r="AA14" s="26"/>
      <c r="AB14" s="26">
        <v>2.5</v>
      </c>
      <c r="AC14" s="26"/>
      <c r="AD14" s="26"/>
      <c r="AE14" s="26"/>
      <c r="AF14" s="26">
        <v>1</v>
      </c>
      <c r="AG14" s="26"/>
      <c r="AH14" s="26">
        <v>3.5</v>
      </c>
      <c r="AI14" s="26"/>
      <c r="AJ14" s="26">
        <v>4</v>
      </c>
      <c r="AK14" s="26"/>
      <c r="AL14" s="43">
        <v>8</v>
      </c>
      <c r="AM14" s="26">
        <v>4.5</v>
      </c>
      <c r="AN14" s="26"/>
      <c r="AO14" s="26">
        <v>4.5</v>
      </c>
      <c r="AP14" s="26">
        <v>1</v>
      </c>
      <c r="AQ14" s="26"/>
      <c r="AR14" s="26"/>
      <c r="AS14" s="26">
        <v>4.5</v>
      </c>
      <c r="AT14" s="26"/>
      <c r="AU14" s="49">
        <f t="shared" si="2"/>
        <v>47.5</v>
      </c>
      <c r="AV14" s="49">
        <f t="shared" si="0"/>
        <v>2</v>
      </c>
      <c r="AW14" s="49">
        <f t="shared" si="1"/>
        <v>16</v>
      </c>
    </row>
    <row r="15" spans="1:49" x14ac:dyDescent="0.25">
      <c r="A15" s="26" t="s">
        <v>50</v>
      </c>
      <c r="B15" s="26">
        <v>1</v>
      </c>
      <c r="C15" s="26"/>
      <c r="D15" s="26">
        <v>4.5</v>
      </c>
      <c r="E15" s="26"/>
      <c r="F15" s="26">
        <v>4.5</v>
      </c>
      <c r="G15" s="26">
        <v>1</v>
      </c>
      <c r="H15" s="43">
        <v>8</v>
      </c>
      <c r="I15" s="26">
        <v>2.5</v>
      </c>
      <c r="J15" s="26"/>
      <c r="K15" s="26">
        <v>4.5</v>
      </c>
      <c r="L15" s="26">
        <v>2</v>
      </c>
      <c r="M15" s="26"/>
      <c r="N15" s="26"/>
      <c r="O15" s="26"/>
      <c r="P15" s="26"/>
      <c r="Q15" s="26">
        <v>2.5</v>
      </c>
      <c r="R15" s="26"/>
      <c r="S15" s="26">
        <v>5</v>
      </c>
      <c r="T15" s="26"/>
      <c r="U15" s="26">
        <v>4.5</v>
      </c>
      <c r="V15" s="26"/>
      <c r="W15" s="26">
        <v>3.5</v>
      </c>
      <c r="X15" s="26"/>
      <c r="Y15" s="43"/>
      <c r="Z15" s="26">
        <v>1.5</v>
      </c>
      <c r="AA15" s="26"/>
      <c r="AB15" s="26">
        <v>2.5</v>
      </c>
      <c r="AC15" s="26"/>
      <c r="AD15" s="26"/>
      <c r="AE15" s="26"/>
      <c r="AF15" s="26"/>
      <c r="AG15" s="26"/>
      <c r="AH15" s="26">
        <v>3.5</v>
      </c>
      <c r="AI15" s="26"/>
      <c r="AJ15" s="26">
        <v>4.5</v>
      </c>
      <c r="AK15" s="26"/>
      <c r="AL15" s="43">
        <v>8</v>
      </c>
      <c r="AM15" s="26">
        <v>4.5</v>
      </c>
      <c r="AN15" s="26">
        <v>1</v>
      </c>
      <c r="AO15" s="26">
        <v>4.5</v>
      </c>
      <c r="AP15" s="26">
        <v>0.5</v>
      </c>
      <c r="AQ15" s="26">
        <v>4.5</v>
      </c>
      <c r="AR15" s="26">
        <v>0.5</v>
      </c>
      <c r="AS15" s="26">
        <v>3.5</v>
      </c>
      <c r="AT15" s="26"/>
      <c r="AU15" s="49">
        <f t="shared" si="2"/>
        <v>61.5</v>
      </c>
      <c r="AV15" s="49">
        <f t="shared" si="0"/>
        <v>5</v>
      </c>
      <c r="AW15" s="49">
        <f t="shared" si="1"/>
        <v>16</v>
      </c>
    </row>
    <row r="16" spans="1:49" x14ac:dyDescent="0.25">
      <c r="A16" s="26" t="s">
        <v>51</v>
      </c>
      <c r="B16" s="26"/>
      <c r="C16" s="26"/>
      <c r="D16" s="26">
        <v>0.5</v>
      </c>
      <c r="E16" s="26"/>
      <c r="F16" s="26">
        <v>3</v>
      </c>
      <c r="G16" s="26"/>
      <c r="H16" s="43">
        <v>8</v>
      </c>
      <c r="I16" s="26">
        <v>2.5</v>
      </c>
      <c r="J16" s="26"/>
      <c r="K16" s="26">
        <v>4.5</v>
      </c>
      <c r="L16" s="26">
        <v>2</v>
      </c>
      <c r="M16" s="26"/>
      <c r="N16" s="26"/>
      <c r="O16" s="26"/>
      <c r="P16" s="26"/>
      <c r="Q16" s="26">
        <v>2.5</v>
      </c>
      <c r="R16" s="26"/>
      <c r="S16" s="26">
        <v>1</v>
      </c>
      <c r="T16" s="26"/>
      <c r="U16" s="26">
        <v>1</v>
      </c>
      <c r="V16" s="26"/>
      <c r="W16" s="26">
        <v>3.5</v>
      </c>
      <c r="X16" s="26"/>
      <c r="Y16" s="43"/>
      <c r="Z16" s="26">
        <v>0.5</v>
      </c>
      <c r="AA16" s="26"/>
      <c r="AB16" s="26">
        <v>2.5</v>
      </c>
      <c r="AC16" s="26"/>
      <c r="AD16" s="26">
        <v>2.5</v>
      </c>
      <c r="AE16" s="26"/>
      <c r="AF16" s="26"/>
      <c r="AG16" s="26"/>
      <c r="AH16" s="26">
        <v>3.5</v>
      </c>
      <c r="AI16" s="26"/>
      <c r="AJ16" s="26">
        <v>4.5</v>
      </c>
      <c r="AK16" s="26"/>
      <c r="AL16" s="43">
        <v>8</v>
      </c>
      <c r="AM16" s="26">
        <v>4.5</v>
      </c>
      <c r="AN16" s="26">
        <v>1</v>
      </c>
      <c r="AO16" s="26">
        <v>4.5</v>
      </c>
      <c r="AP16" s="26">
        <v>1</v>
      </c>
      <c r="AQ16" s="26">
        <v>4.5</v>
      </c>
      <c r="AR16" s="26">
        <v>0.5</v>
      </c>
      <c r="AS16" s="26">
        <v>3</v>
      </c>
      <c r="AT16" s="26"/>
      <c r="AU16" s="49">
        <f t="shared" si="2"/>
        <v>48.5</v>
      </c>
      <c r="AV16" s="49">
        <f t="shared" si="0"/>
        <v>4.5</v>
      </c>
      <c r="AW16" s="49">
        <f t="shared" si="1"/>
        <v>16</v>
      </c>
    </row>
    <row r="17" spans="1:49" x14ac:dyDescent="0.25">
      <c r="A17" s="26" t="s">
        <v>52</v>
      </c>
      <c r="B17" s="26">
        <v>1</v>
      </c>
      <c r="C17" s="26"/>
      <c r="D17" s="26">
        <v>0.5</v>
      </c>
      <c r="E17" s="26"/>
      <c r="F17" s="26"/>
      <c r="G17" s="26"/>
      <c r="H17" s="43">
        <v>8</v>
      </c>
      <c r="I17" s="26">
        <v>2.5</v>
      </c>
      <c r="J17" s="26"/>
      <c r="K17" s="26">
        <v>2.5</v>
      </c>
      <c r="L17" s="26"/>
      <c r="M17" s="26">
        <v>3</v>
      </c>
      <c r="N17" s="26"/>
      <c r="O17" s="26"/>
      <c r="P17" s="26"/>
      <c r="Q17" s="26">
        <v>2</v>
      </c>
      <c r="R17" s="26"/>
      <c r="S17" s="26">
        <v>1</v>
      </c>
      <c r="T17" s="26"/>
      <c r="U17" s="26">
        <v>1</v>
      </c>
      <c r="V17" s="26"/>
      <c r="W17" s="26">
        <v>3.5</v>
      </c>
      <c r="X17" s="26"/>
      <c r="Y17" s="43">
        <v>8</v>
      </c>
      <c r="Z17" s="26">
        <v>0.5</v>
      </c>
      <c r="AA17" s="26"/>
      <c r="AB17" s="26">
        <v>1.5</v>
      </c>
      <c r="AC17" s="26"/>
      <c r="AD17" s="26">
        <v>3</v>
      </c>
      <c r="AE17" s="26"/>
      <c r="AF17" s="26">
        <v>3.5</v>
      </c>
      <c r="AG17" s="26"/>
      <c r="AH17" s="26">
        <v>3.5</v>
      </c>
      <c r="AI17" s="26"/>
      <c r="AJ17" s="26">
        <v>4.5</v>
      </c>
      <c r="AK17" s="26"/>
      <c r="AL17" s="43">
        <v>8</v>
      </c>
      <c r="AM17" s="26">
        <v>4.5</v>
      </c>
      <c r="AN17" s="26"/>
      <c r="AO17" s="26">
        <v>3.5</v>
      </c>
      <c r="AP17" s="26"/>
      <c r="AQ17" s="26">
        <v>4.5</v>
      </c>
      <c r="AR17" s="26"/>
      <c r="AS17" s="26">
        <v>4</v>
      </c>
      <c r="AT17" s="26"/>
      <c r="AU17" s="49">
        <f t="shared" si="2"/>
        <v>50</v>
      </c>
      <c r="AV17" s="49">
        <f t="shared" si="0"/>
        <v>0</v>
      </c>
      <c r="AW17" s="49">
        <f t="shared" si="1"/>
        <v>24</v>
      </c>
    </row>
    <row r="18" spans="1:49" x14ac:dyDescent="0.25">
      <c r="A18" s="26" t="s">
        <v>53</v>
      </c>
      <c r="B18" s="26">
        <v>1</v>
      </c>
      <c r="C18" s="26"/>
      <c r="D18" s="26">
        <v>0.5</v>
      </c>
      <c r="E18" s="26"/>
      <c r="F18" s="26"/>
      <c r="G18" s="26"/>
      <c r="H18" s="43"/>
      <c r="I18" s="26">
        <v>1.5</v>
      </c>
      <c r="J18" s="26"/>
      <c r="K18" s="26">
        <v>3.5</v>
      </c>
      <c r="L18" s="26"/>
      <c r="M18" s="26"/>
      <c r="N18" s="26"/>
      <c r="O18" s="26"/>
      <c r="P18" s="26"/>
      <c r="Q18" s="26">
        <v>2</v>
      </c>
      <c r="R18" s="26"/>
      <c r="S18" s="26"/>
      <c r="T18" s="26"/>
      <c r="U18" s="26">
        <v>1</v>
      </c>
      <c r="V18" s="26"/>
      <c r="W18" s="26"/>
      <c r="X18" s="26"/>
      <c r="Y18" s="43"/>
      <c r="Z18" s="26">
        <v>0.5</v>
      </c>
      <c r="AA18" s="26"/>
      <c r="AB18" s="26"/>
      <c r="AC18" s="26"/>
      <c r="AD18" s="26">
        <v>1</v>
      </c>
      <c r="AE18" s="26"/>
      <c r="AF18" s="26">
        <v>1</v>
      </c>
      <c r="AG18" s="26"/>
      <c r="AH18" s="26">
        <v>1</v>
      </c>
      <c r="AI18" s="26"/>
      <c r="AJ18" s="26">
        <v>1</v>
      </c>
      <c r="AK18" s="26"/>
      <c r="AL18" s="43"/>
      <c r="AM18" s="26">
        <v>1</v>
      </c>
      <c r="AN18" s="26"/>
      <c r="AO18" s="26"/>
      <c r="AP18" s="26"/>
      <c r="AQ18" s="26"/>
      <c r="AR18" s="26"/>
      <c r="AS18" s="26"/>
      <c r="AT18" s="26"/>
      <c r="AU18" s="49">
        <f t="shared" si="2"/>
        <v>15</v>
      </c>
      <c r="AV18" s="49">
        <f t="shared" si="0"/>
        <v>0</v>
      </c>
      <c r="AW18" s="49">
        <f t="shared" si="1"/>
        <v>0</v>
      </c>
    </row>
    <row r="19" spans="1:49" x14ac:dyDescent="0.25">
      <c r="A19" s="26" t="s">
        <v>54</v>
      </c>
      <c r="B19" s="26">
        <v>1</v>
      </c>
      <c r="C19" s="26"/>
      <c r="D19" s="26">
        <v>4.5</v>
      </c>
      <c r="E19" s="26"/>
      <c r="F19" s="26">
        <v>4.5</v>
      </c>
      <c r="G19" s="26">
        <v>1</v>
      </c>
      <c r="H19" s="43">
        <v>9.5</v>
      </c>
      <c r="I19" s="26">
        <v>2.5</v>
      </c>
      <c r="J19" s="26"/>
      <c r="K19" s="26"/>
      <c r="L19" s="26"/>
      <c r="M19" s="26">
        <v>3.5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4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>
        <v>4.5</v>
      </c>
      <c r="AK19" s="26"/>
      <c r="AL19" s="43">
        <v>8</v>
      </c>
      <c r="AM19" s="26">
        <v>4.5</v>
      </c>
      <c r="AN19" s="26">
        <v>1</v>
      </c>
      <c r="AO19" s="26">
        <v>4.5</v>
      </c>
      <c r="AP19" s="26">
        <v>1</v>
      </c>
      <c r="AQ19" s="26">
        <v>4.5</v>
      </c>
      <c r="AR19" s="26">
        <v>0.5</v>
      </c>
      <c r="AS19" s="26">
        <v>4.5</v>
      </c>
      <c r="AT19" s="26"/>
      <c r="AU19" s="49">
        <f t="shared" si="2"/>
        <v>38.5</v>
      </c>
      <c r="AV19" s="49">
        <f t="shared" si="0"/>
        <v>3.5</v>
      </c>
      <c r="AW19" s="49">
        <f t="shared" si="1"/>
        <v>17.5</v>
      </c>
    </row>
    <row r="20" spans="1:49" x14ac:dyDescent="0.25">
      <c r="A20" s="26" t="s">
        <v>55</v>
      </c>
      <c r="B20" s="26"/>
      <c r="C20" s="26"/>
      <c r="D20" s="26"/>
      <c r="E20" s="26"/>
      <c r="F20" s="26"/>
      <c r="G20" s="26"/>
      <c r="H20" s="43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4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43"/>
      <c r="AM20" s="26"/>
      <c r="AN20" s="26"/>
      <c r="AO20" s="26"/>
      <c r="AP20" s="26"/>
      <c r="AQ20" s="26"/>
      <c r="AR20" s="26"/>
      <c r="AS20" s="26"/>
      <c r="AT20" s="26"/>
      <c r="AU20" s="49">
        <f t="shared" si="2"/>
        <v>0</v>
      </c>
      <c r="AV20" s="49">
        <f t="shared" si="0"/>
        <v>0</v>
      </c>
      <c r="AW20" s="49">
        <f t="shared" si="1"/>
        <v>0</v>
      </c>
    </row>
    <row r="21" spans="1:49" x14ac:dyDescent="0.25">
      <c r="A21" s="26" t="s">
        <v>56</v>
      </c>
      <c r="B21" s="26">
        <v>1</v>
      </c>
      <c r="C21" s="26"/>
      <c r="D21" s="26">
        <v>0.5</v>
      </c>
      <c r="E21" s="26"/>
      <c r="F21" s="26">
        <v>0.5</v>
      </c>
      <c r="G21" s="26"/>
      <c r="H21" s="43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4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43"/>
      <c r="AM21" s="26"/>
      <c r="AN21" s="26"/>
      <c r="AO21" s="26"/>
      <c r="AP21" s="26"/>
      <c r="AQ21" s="26"/>
      <c r="AR21" s="26"/>
      <c r="AS21" s="26"/>
      <c r="AT21" s="26"/>
      <c r="AU21" s="49">
        <f t="shared" si="2"/>
        <v>2</v>
      </c>
      <c r="AV21" s="49">
        <f t="shared" si="0"/>
        <v>0</v>
      </c>
      <c r="AW21" s="49">
        <f t="shared" si="1"/>
        <v>0</v>
      </c>
    </row>
    <row r="22" spans="1:49" x14ac:dyDescent="0.25">
      <c r="A22" s="26" t="s">
        <v>57</v>
      </c>
      <c r="B22" s="26">
        <v>1</v>
      </c>
      <c r="C22" s="26"/>
      <c r="D22" s="26"/>
      <c r="E22" s="26"/>
      <c r="F22" s="26">
        <v>0.5</v>
      </c>
      <c r="G22" s="26"/>
      <c r="H22" s="43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4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43"/>
      <c r="AM22" s="26"/>
      <c r="AN22" s="26"/>
      <c r="AO22" s="26"/>
      <c r="AP22" s="26"/>
      <c r="AQ22" s="26"/>
      <c r="AR22" s="26"/>
      <c r="AS22" s="26"/>
      <c r="AT22" s="26"/>
      <c r="AU22" s="49">
        <f t="shared" si="2"/>
        <v>1.5</v>
      </c>
      <c r="AV22" s="49">
        <f t="shared" si="0"/>
        <v>0</v>
      </c>
      <c r="AW22" s="49">
        <f t="shared" si="1"/>
        <v>0</v>
      </c>
    </row>
    <row r="23" spans="1:49" x14ac:dyDescent="0.25">
      <c r="A23" s="26" t="s">
        <v>58</v>
      </c>
      <c r="B23" s="26"/>
      <c r="C23" s="26"/>
      <c r="D23" s="26"/>
      <c r="E23" s="26"/>
      <c r="F23" s="26"/>
      <c r="G23" s="26"/>
      <c r="H23" s="43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>
        <v>1</v>
      </c>
      <c r="T23" s="26"/>
      <c r="U23" s="26">
        <v>1</v>
      </c>
      <c r="V23" s="26"/>
      <c r="W23" s="26">
        <v>1</v>
      </c>
      <c r="X23" s="26"/>
      <c r="Y23" s="43">
        <v>8</v>
      </c>
      <c r="Z23" s="26">
        <v>3</v>
      </c>
      <c r="AA23" s="26"/>
      <c r="AB23" s="26"/>
      <c r="AC23" s="26"/>
      <c r="AD23" s="26">
        <v>3.5</v>
      </c>
      <c r="AE23" s="26"/>
      <c r="AF23" s="26">
        <v>3.5</v>
      </c>
      <c r="AG23" s="26"/>
      <c r="AH23" s="26">
        <v>3.5</v>
      </c>
      <c r="AI23" s="26"/>
      <c r="AJ23" s="26">
        <v>1</v>
      </c>
      <c r="AK23" s="26"/>
      <c r="AL23" s="43">
        <v>8</v>
      </c>
      <c r="AM23" s="26">
        <v>3.5</v>
      </c>
      <c r="AN23" s="26"/>
      <c r="AO23" s="26">
        <v>3.5</v>
      </c>
      <c r="AP23" s="26"/>
      <c r="AQ23" s="26">
        <v>3.5</v>
      </c>
      <c r="AR23" s="26"/>
      <c r="AS23" s="26">
        <v>3.5</v>
      </c>
      <c r="AT23" s="26"/>
      <c r="AU23" s="49">
        <f t="shared" si="2"/>
        <v>31.5</v>
      </c>
      <c r="AV23" s="49">
        <f t="shared" si="0"/>
        <v>0</v>
      </c>
      <c r="AW23" s="49">
        <f t="shared" si="1"/>
        <v>16</v>
      </c>
    </row>
    <row r="24" spans="1:49" x14ac:dyDescent="0.25">
      <c r="A24" s="26" t="s">
        <v>59</v>
      </c>
      <c r="B24" s="26"/>
      <c r="C24" s="26"/>
      <c r="D24" s="26"/>
      <c r="E24" s="26"/>
      <c r="F24" s="26"/>
      <c r="G24" s="26"/>
      <c r="H24" s="43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>
        <v>1</v>
      </c>
      <c r="T24" s="26"/>
      <c r="U24" s="26">
        <v>1</v>
      </c>
      <c r="V24" s="26"/>
      <c r="W24" s="26">
        <v>1</v>
      </c>
      <c r="X24" s="26"/>
      <c r="Y24" s="43">
        <v>8</v>
      </c>
      <c r="Z24" s="26">
        <v>3</v>
      </c>
      <c r="AA24" s="26"/>
      <c r="AB24" s="26"/>
      <c r="AC24" s="26"/>
      <c r="AD24" s="26">
        <v>3.5</v>
      </c>
      <c r="AE24" s="26"/>
      <c r="AF24" s="26">
        <v>3.5</v>
      </c>
      <c r="AG24" s="26"/>
      <c r="AH24" s="26">
        <v>3.5</v>
      </c>
      <c r="AI24" s="26"/>
      <c r="AJ24" s="26">
        <v>1</v>
      </c>
      <c r="AK24" s="26"/>
      <c r="AL24" s="43">
        <v>8</v>
      </c>
      <c r="AM24" s="26">
        <v>3.5</v>
      </c>
      <c r="AN24" s="26"/>
      <c r="AO24" s="26">
        <v>3.5</v>
      </c>
      <c r="AP24" s="26"/>
      <c r="AQ24" s="26">
        <v>3.5</v>
      </c>
      <c r="AR24" s="26"/>
      <c r="AS24" s="26">
        <v>3.5</v>
      </c>
      <c r="AT24" s="26"/>
      <c r="AU24" s="49">
        <f t="shared" si="2"/>
        <v>31.5</v>
      </c>
      <c r="AV24" s="49">
        <f t="shared" si="0"/>
        <v>0</v>
      </c>
      <c r="AW24" s="49">
        <f t="shared" si="1"/>
        <v>16</v>
      </c>
    </row>
    <row r="25" spans="1:49" x14ac:dyDescent="0.25">
      <c r="A25" s="26" t="s">
        <v>60</v>
      </c>
      <c r="B25" s="26"/>
      <c r="C25" s="26"/>
      <c r="D25" s="26"/>
      <c r="E25" s="26"/>
      <c r="F25" s="26"/>
      <c r="G25" s="26"/>
      <c r="H25" s="43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>
        <v>1</v>
      </c>
      <c r="T25" s="26"/>
      <c r="U25" s="26">
        <v>1</v>
      </c>
      <c r="V25" s="26"/>
      <c r="W25" s="26">
        <v>1</v>
      </c>
      <c r="X25" s="26"/>
      <c r="Y25" s="43"/>
      <c r="Z25" s="26">
        <v>3</v>
      </c>
      <c r="AA25" s="26"/>
      <c r="AB25" s="26">
        <v>2.5</v>
      </c>
      <c r="AC25" s="26"/>
      <c r="AD25" s="26">
        <v>1</v>
      </c>
      <c r="AE25" s="26"/>
      <c r="AF25" s="26">
        <v>1</v>
      </c>
      <c r="AG25" s="26"/>
      <c r="AH25" s="26">
        <v>1</v>
      </c>
      <c r="AI25" s="26"/>
      <c r="AJ25" s="26">
        <v>1</v>
      </c>
      <c r="AK25" s="26"/>
      <c r="AL25" s="43">
        <v>8</v>
      </c>
      <c r="AM25" s="26">
        <v>1</v>
      </c>
      <c r="AN25" s="26"/>
      <c r="AO25" s="26"/>
      <c r="AP25" s="26"/>
      <c r="AQ25" s="26"/>
      <c r="AR25" s="26"/>
      <c r="AS25" s="26"/>
      <c r="AT25" s="26"/>
      <c r="AU25" s="49">
        <f t="shared" si="2"/>
        <v>13.5</v>
      </c>
      <c r="AV25" s="49">
        <f t="shared" si="0"/>
        <v>0</v>
      </c>
      <c r="AW25" s="49">
        <f t="shared" si="1"/>
        <v>8</v>
      </c>
    </row>
    <row r="26" spans="1:49" x14ac:dyDescent="0.25">
      <c r="A26" s="26" t="s">
        <v>61</v>
      </c>
      <c r="B26" s="26"/>
      <c r="C26" s="26"/>
      <c r="D26" s="26"/>
      <c r="E26" s="26"/>
      <c r="F26" s="26"/>
      <c r="G26" s="26"/>
      <c r="H26" s="43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>
        <v>1</v>
      </c>
      <c r="T26" s="26"/>
      <c r="U26" s="26">
        <v>1</v>
      </c>
      <c r="V26" s="26"/>
      <c r="W26" s="26">
        <v>1</v>
      </c>
      <c r="X26" s="26"/>
      <c r="Y26" s="43"/>
      <c r="Z26" s="26">
        <v>2.5</v>
      </c>
      <c r="AA26" s="26"/>
      <c r="AB26" s="26">
        <v>2.5</v>
      </c>
      <c r="AC26" s="26"/>
      <c r="AD26" s="26">
        <v>4.5</v>
      </c>
      <c r="AE26" s="26">
        <v>2</v>
      </c>
      <c r="AF26" s="26">
        <v>1</v>
      </c>
      <c r="AG26" s="26"/>
      <c r="AH26" s="26">
        <v>3.5</v>
      </c>
      <c r="AI26" s="26"/>
      <c r="AJ26" s="26">
        <v>4.5</v>
      </c>
      <c r="AK26" s="26"/>
      <c r="AL26" s="43">
        <v>8</v>
      </c>
      <c r="AM26" s="26">
        <v>4.5</v>
      </c>
      <c r="AN26" s="26">
        <v>2.5</v>
      </c>
      <c r="AO26" s="26">
        <v>3</v>
      </c>
      <c r="AP26" s="26"/>
      <c r="AQ26" s="26"/>
      <c r="AR26" s="26"/>
      <c r="AS26" s="26"/>
      <c r="AT26" s="26"/>
      <c r="AU26" s="49">
        <f t="shared" si="2"/>
        <v>29</v>
      </c>
      <c r="AV26" s="49">
        <f t="shared" si="0"/>
        <v>4.5</v>
      </c>
      <c r="AW26" s="49">
        <f t="shared" si="1"/>
        <v>8</v>
      </c>
    </row>
    <row r="27" spans="1:49" x14ac:dyDescent="0.25">
      <c r="A27" s="26" t="s">
        <v>62</v>
      </c>
      <c r="B27" s="26"/>
      <c r="C27" s="26"/>
      <c r="D27" s="26"/>
      <c r="E27" s="26"/>
      <c r="F27" s="26"/>
      <c r="G27" s="26"/>
      <c r="H27" s="43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>
        <v>1</v>
      </c>
      <c r="V27" s="26"/>
      <c r="W27" s="26">
        <v>1</v>
      </c>
      <c r="X27" s="26"/>
      <c r="Y27" s="43">
        <v>8</v>
      </c>
      <c r="Z27" s="26">
        <v>1.5</v>
      </c>
      <c r="AA27" s="26"/>
      <c r="AB27" s="26">
        <v>2</v>
      </c>
      <c r="AC27" s="26"/>
      <c r="AD27" s="26">
        <v>2</v>
      </c>
      <c r="AE27" s="26"/>
      <c r="AF27" s="26">
        <v>2.5</v>
      </c>
      <c r="AG27" s="26"/>
      <c r="AH27" s="26">
        <v>3.5</v>
      </c>
      <c r="AI27" s="26"/>
      <c r="AJ27" s="26">
        <v>3.5</v>
      </c>
      <c r="AK27" s="26"/>
      <c r="AL27" s="43">
        <v>8</v>
      </c>
      <c r="AM27" s="26"/>
      <c r="AN27" s="26"/>
      <c r="AO27" s="26">
        <v>3.5</v>
      </c>
      <c r="AP27" s="26"/>
      <c r="AQ27" s="26">
        <v>2.5</v>
      </c>
      <c r="AR27" s="26"/>
      <c r="AS27" s="26">
        <v>4.5</v>
      </c>
      <c r="AT27" s="26">
        <v>0.5</v>
      </c>
      <c r="AU27" s="49">
        <f t="shared" si="2"/>
        <v>27.5</v>
      </c>
      <c r="AV27" s="49">
        <f t="shared" si="0"/>
        <v>0.5</v>
      </c>
      <c r="AW27" s="49">
        <f t="shared" si="1"/>
        <v>16</v>
      </c>
    </row>
    <row r="28" spans="1:49" x14ac:dyDescent="0.25">
      <c r="A28" s="26" t="s">
        <v>63</v>
      </c>
      <c r="B28" s="26"/>
      <c r="C28" s="26"/>
      <c r="D28" s="26"/>
      <c r="E28" s="26"/>
      <c r="F28" s="26"/>
      <c r="G28" s="26"/>
      <c r="H28" s="43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>
        <v>1</v>
      </c>
      <c r="V28" s="26"/>
      <c r="W28" s="26">
        <v>2.5</v>
      </c>
      <c r="X28" s="26"/>
      <c r="Y28" s="43">
        <v>8</v>
      </c>
      <c r="Z28" s="26">
        <v>1.5</v>
      </c>
      <c r="AA28" s="26"/>
      <c r="AB28" s="26">
        <v>2</v>
      </c>
      <c r="AC28" s="26"/>
      <c r="AD28" s="26">
        <v>4.5</v>
      </c>
      <c r="AE28" s="26">
        <v>2</v>
      </c>
      <c r="AF28" s="26">
        <v>2.5</v>
      </c>
      <c r="AG28" s="26"/>
      <c r="AH28" s="26">
        <v>3.5</v>
      </c>
      <c r="AI28" s="26"/>
      <c r="AJ28" s="26">
        <v>3.5</v>
      </c>
      <c r="AK28" s="26"/>
      <c r="AL28" s="43">
        <v>8</v>
      </c>
      <c r="AM28" s="26"/>
      <c r="AN28" s="26"/>
      <c r="AO28" s="26">
        <v>3.5</v>
      </c>
      <c r="AP28" s="26"/>
      <c r="AQ28" s="26"/>
      <c r="AR28" s="26"/>
      <c r="AS28" s="26"/>
      <c r="AT28" s="26"/>
      <c r="AU28" s="49">
        <f t="shared" si="2"/>
        <v>24.5</v>
      </c>
      <c r="AV28" s="49">
        <f t="shared" si="0"/>
        <v>2</v>
      </c>
      <c r="AW28" s="49">
        <f t="shared" si="1"/>
        <v>16</v>
      </c>
    </row>
    <row r="29" spans="1:49" x14ac:dyDescent="0.25">
      <c r="A29" s="26" t="s">
        <v>64</v>
      </c>
      <c r="B29" s="26"/>
      <c r="C29" s="26"/>
      <c r="D29" s="26"/>
      <c r="E29" s="26"/>
      <c r="F29" s="26"/>
      <c r="G29" s="26"/>
      <c r="H29" s="43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43">
        <v>8</v>
      </c>
      <c r="Z29" s="26">
        <v>3</v>
      </c>
      <c r="AA29" s="26"/>
      <c r="AB29" s="26">
        <v>2.5</v>
      </c>
      <c r="AC29" s="26"/>
      <c r="AD29" s="26">
        <v>2.5</v>
      </c>
      <c r="AE29" s="26"/>
      <c r="AF29" s="26">
        <v>1</v>
      </c>
      <c r="AG29" s="26"/>
      <c r="AH29" s="26"/>
      <c r="AI29" s="26"/>
      <c r="AJ29" s="26"/>
      <c r="AK29" s="26"/>
      <c r="AL29" s="43"/>
      <c r="AM29" s="26"/>
      <c r="AN29" s="26"/>
      <c r="AO29" s="26"/>
      <c r="AP29" s="26"/>
      <c r="AQ29" s="26"/>
      <c r="AR29" s="26"/>
      <c r="AS29" s="26"/>
      <c r="AT29" s="26"/>
      <c r="AU29" s="49">
        <f t="shared" si="2"/>
        <v>9</v>
      </c>
      <c r="AV29" s="49">
        <f t="shared" si="0"/>
        <v>0</v>
      </c>
      <c r="AW29" s="49">
        <f t="shared" si="1"/>
        <v>8</v>
      </c>
    </row>
    <row r="30" spans="1:49" x14ac:dyDescent="0.25">
      <c r="A30" s="26" t="s">
        <v>65</v>
      </c>
      <c r="B30" s="26"/>
      <c r="C30" s="26"/>
      <c r="D30" s="26"/>
      <c r="E30" s="26"/>
      <c r="F30" s="26"/>
      <c r="G30" s="26"/>
      <c r="H30" s="43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43">
        <v>8</v>
      </c>
      <c r="Z30" s="26">
        <v>3</v>
      </c>
      <c r="AA30" s="26"/>
      <c r="AB30" s="26">
        <v>2.5</v>
      </c>
      <c r="AC30" s="26"/>
      <c r="AD30" s="26">
        <v>2.5</v>
      </c>
      <c r="AE30" s="26"/>
      <c r="AF30" s="26">
        <v>2.5</v>
      </c>
      <c r="AG30" s="26"/>
      <c r="AH30" s="26"/>
      <c r="AI30" s="26"/>
      <c r="AJ30" s="26"/>
      <c r="AK30" s="26"/>
      <c r="AL30" s="43"/>
      <c r="AM30" s="26"/>
      <c r="AN30" s="26"/>
      <c r="AO30" s="26"/>
      <c r="AP30" s="26"/>
      <c r="AQ30" s="26"/>
      <c r="AR30" s="26"/>
      <c r="AS30" s="26"/>
      <c r="AT30" s="26"/>
      <c r="AU30" s="49">
        <f t="shared" si="2"/>
        <v>10.5</v>
      </c>
      <c r="AV30" s="49">
        <f t="shared" si="0"/>
        <v>0</v>
      </c>
      <c r="AW30" s="49">
        <f t="shared" si="1"/>
        <v>8</v>
      </c>
    </row>
    <row r="31" spans="1:49" x14ac:dyDescent="0.25">
      <c r="A31" s="26" t="s">
        <v>235</v>
      </c>
      <c r="B31" s="26"/>
      <c r="C31" s="26"/>
      <c r="D31" s="26"/>
      <c r="E31" s="26"/>
      <c r="F31" s="26"/>
      <c r="G31" s="26"/>
      <c r="H31" s="43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43"/>
      <c r="Z31" s="26"/>
      <c r="AA31" s="26"/>
      <c r="AB31" s="26"/>
      <c r="AC31" s="26"/>
      <c r="AD31" s="26">
        <v>1</v>
      </c>
      <c r="AE31" s="26"/>
      <c r="AF31" s="26">
        <v>1.5</v>
      </c>
      <c r="AG31" s="26"/>
      <c r="AH31" s="26"/>
      <c r="AI31" s="26"/>
      <c r="AJ31" s="26">
        <v>1.5</v>
      </c>
      <c r="AK31" s="26"/>
      <c r="AL31" s="43">
        <v>8</v>
      </c>
      <c r="AM31" s="26">
        <v>1</v>
      </c>
      <c r="AN31" s="26"/>
      <c r="AO31" s="26"/>
      <c r="AP31" s="26"/>
      <c r="AQ31" s="26"/>
      <c r="AR31" s="26"/>
      <c r="AS31" s="26"/>
      <c r="AT31" s="26"/>
      <c r="AU31" s="49">
        <f t="shared" si="2"/>
        <v>5</v>
      </c>
      <c r="AV31" s="49">
        <f t="shared" si="0"/>
        <v>0</v>
      </c>
      <c r="AW31" s="49">
        <f t="shared" si="1"/>
        <v>8</v>
      </c>
    </row>
    <row r="32" spans="1:49" x14ac:dyDescent="0.25">
      <c r="A32" s="26" t="s">
        <v>66</v>
      </c>
      <c r="B32" s="26"/>
      <c r="C32" s="26"/>
      <c r="D32" s="26"/>
      <c r="E32" s="26"/>
      <c r="F32" s="26"/>
      <c r="G32" s="26"/>
      <c r="H32" s="43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>
        <v>1</v>
      </c>
      <c r="V32" s="26"/>
      <c r="W32" s="26">
        <v>1</v>
      </c>
      <c r="X32" s="26"/>
      <c r="Y32" s="43"/>
      <c r="Z32" s="26">
        <v>3</v>
      </c>
      <c r="AA32" s="26"/>
      <c r="AB32" s="26">
        <v>2.5</v>
      </c>
      <c r="AC32" s="26"/>
      <c r="AD32" s="26"/>
      <c r="AE32" s="26"/>
      <c r="AF32" s="26">
        <v>1</v>
      </c>
      <c r="AG32" s="26"/>
      <c r="AH32" s="26">
        <v>1</v>
      </c>
      <c r="AI32" s="26"/>
      <c r="AJ32" s="26">
        <v>1</v>
      </c>
      <c r="AK32" s="26"/>
      <c r="AL32" s="43">
        <v>8</v>
      </c>
      <c r="AM32" s="26">
        <v>1</v>
      </c>
      <c r="AN32" s="26"/>
      <c r="AO32" s="26"/>
      <c r="AP32" s="26"/>
      <c r="AQ32" s="26"/>
      <c r="AR32" s="26"/>
      <c r="AS32" s="26"/>
      <c r="AT32" s="26"/>
      <c r="AU32" s="49">
        <f t="shared" si="2"/>
        <v>11.5</v>
      </c>
      <c r="AV32" s="49">
        <f t="shared" si="0"/>
        <v>0</v>
      </c>
      <c r="AW32" s="49">
        <f t="shared" si="1"/>
        <v>8</v>
      </c>
    </row>
    <row r="33" spans="1:49" x14ac:dyDescent="0.25">
      <c r="A33" s="26" t="s">
        <v>67</v>
      </c>
      <c r="B33" s="26"/>
      <c r="C33" s="26"/>
      <c r="D33" s="26"/>
      <c r="E33" s="26"/>
      <c r="F33" s="26"/>
      <c r="G33" s="26"/>
      <c r="H33" s="43">
        <v>8</v>
      </c>
      <c r="I33" s="26"/>
      <c r="J33" s="26"/>
      <c r="K33" s="26">
        <v>4</v>
      </c>
      <c r="L33" s="26"/>
      <c r="M33" s="26">
        <v>1</v>
      </c>
      <c r="N33" s="26"/>
      <c r="O33" s="26"/>
      <c r="P33" s="26"/>
      <c r="Q33" s="26">
        <v>1</v>
      </c>
      <c r="R33" s="26"/>
      <c r="S33" s="26">
        <v>1</v>
      </c>
      <c r="T33" s="26"/>
      <c r="U33" s="26"/>
      <c r="V33" s="26"/>
      <c r="W33" s="26"/>
      <c r="X33" s="26"/>
      <c r="Y33" s="43">
        <v>5</v>
      </c>
      <c r="Z33" s="26">
        <v>0.5</v>
      </c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43">
        <v>4</v>
      </c>
      <c r="AM33" s="26"/>
      <c r="AN33" s="26"/>
      <c r="AO33" s="26"/>
      <c r="AP33" s="26"/>
      <c r="AQ33" s="26"/>
      <c r="AR33" s="26"/>
      <c r="AS33" s="26"/>
      <c r="AT33" s="26"/>
      <c r="AU33" s="49">
        <f t="shared" si="2"/>
        <v>7.5</v>
      </c>
      <c r="AV33" s="49">
        <f t="shared" si="0"/>
        <v>0</v>
      </c>
      <c r="AW33" s="49">
        <f t="shared" si="1"/>
        <v>17</v>
      </c>
    </row>
    <row r="34" spans="1:49" x14ac:dyDescent="0.25">
      <c r="A34" s="26" t="s">
        <v>96</v>
      </c>
      <c r="B34" s="26"/>
      <c r="C34" s="26"/>
      <c r="D34" s="26"/>
      <c r="E34" s="26"/>
      <c r="F34" s="26"/>
      <c r="G34" s="26"/>
      <c r="H34" s="43">
        <v>8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43">
        <v>4</v>
      </c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43"/>
      <c r="AM34" s="26"/>
      <c r="AN34" s="26"/>
      <c r="AO34" s="26"/>
      <c r="AP34" s="26"/>
      <c r="AQ34" s="26"/>
      <c r="AR34" s="26"/>
      <c r="AS34" s="26"/>
      <c r="AT34" s="26"/>
      <c r="AU34" s="49">
        <f t="shared" si="2"/>
        <v>0</v>
      </c>
      <c r="AV34" s="49">
        <f t="shared" si="0"/>
        <v>0</v>
      </c>
      <c r="AW34" s="49">
        <f t="shared" si="1"/>
        <v>12</v>
      </c>
    </row>
    <row r="35" spans="1:49" x14ac:dyDescent="0.25">
      <c r="A35" s="26" t="s">
        <v>68</v>
      </c>
      <c r="B35" s="26"/>
      <c r="C35" s="26"/>
      <c r="D35" s="26"/>
      <c r="E35" s="26"/>
      <c r="F35" s="26"/>
      <c r="G35" s="26"/>
      <c r="H35" s="4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>
        <v>1</v>
      </c>
      <c r="V35" s="26"/>
      <c r="W35" s="26"/>
      <c r="X35" s="26"/>
      <c r="Y35" s="43">
        <v>5</v>
      </c>
      <c r="Z35" s="26">
        <v>0.5</v>
      </c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43"/>
      <c r="AM35" s="26"/>
      <c r="AN35" s="26"/>
      <c r="AO35" s="26"/>
      <c r="AP35" s="26"/>
      <c r="AQ35" s="26"/>
      <c r="AR35" s="26"/>
      <c r="AS35" s="26"/>
      <c r="AT35" s="26"/>
      <c r="AU35" s="49">
        <f t="shared" si="2"/>
        <v>1.5</v>
      </c>
      <c r="AV35" s="49">
        <f t="shared" si="0"/>
        <v>0</v>
      </c>
      <c r="AW35" s="49">
        <f t="shared" si="1"/>
        <v>5</v>
      </c>
    </row>
    <row r="36" spans="1:49" x14ac:dyDescent="0.25">
      <c r="A36" s="26" t="s">
        <v>69</v>
      </c>
      <c r="B36" s="26"/>
      <c r="C36" s="26"/>
      <c r="D36" s="26"/>
      <c r="E36" s="26"/>
      <c r="F36" s="26"/>
      <c r="G36" s="26"/>
      <c r="H36" s="4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43"/>
      <c r="Z36" s="26"/>
      <c r="AA36" s="26"/>
      <c r="AB36" s="26"/>
      <c r="AC36" s="26"/>
      <c r="AD36" s="26">
        <v>3.5</v>
      </c>
      <c r="AE36" s="26"/>
      <c r="AF36" s="26">
        <v>3</v>
      </c>
      <c r="AG36" s="26"/>
      <c r="AH36" s="26"/>
      <c r="AI36" s="26"/>
      <c r="AJ36" s="26">
        <v>4.5</v>
      </c>
      <c r="AK36" s="26"/>
      <c r="AL36" s="43"/>
      <c r="AM36" s="26">
        <v>3.5</v>
      </c>
      <c r="AN36" s="26"/>
      <c r="AO36" s="26"/>
      <c r="AP36" s="26"/>
      <c r="AQ36" s="26">
        <v>4.5</v>
      </c>
      <c r="AR36" s="26">
        <v>0.5</v>
      </c>
      <c r="AS36" s="26">
        <v>4</v>
      </c>
      <c r="AT36" s="26"/>
      <c r="AU36" s="49">
        <f t="shared" si="2"/>
        <v>23</v>
      </c>
      <c r="AV36" s="49">
        <f t="shared" si="0"/>
        <v>0.5</v>
      </c>
      <c r="AW36" s="49">
        <f t="shared" si="1"/>
        <v>0</v>
      </c>
    </row>
    <row r="37" spans="1:49" x14ac:dyDescent="0.25">
      <c r="A37" s="26" t="s">
        <v>70</v>
      </c>
      <c r="B37" s="26"/>
      <c r="C37" s="26"/>
      <c r="D37" s="26"/>
      <c r="E37" s="26"/>
      <c r="F37" s="26"/>
      <c r="G37" s="26"/>
      <c r="H37" s="43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43"/>
      <c r="Z37" s="26"/>
      <c r="AA37" s="26"/>
      <c r="AB37" s="26"/>
      <c r="AC37" s="26"/>
      <c r="AD37" s="26">
        <v>3.5</v>
      </c>
      <c r="AE37" s="26"/>
      <c r="AF37" s="26">
        <v>3</v>
      </c>
      <c r="AG37" s="26"/>
      <c r="AH37" s="26">
        <v>3.5</v>
      </c>
      <c r="AI37" s="26"/>
      <c r="AJ37" s="26">
        <v>1</v>
      </c>
      <c r="AK37" s="26"/>
      <c r="AL37" s="43">
        <v>8</v>
      </c>
      <c r="AM37" s="26">
        <v>4.5</v>
      </c>
      <c r="AN37" s="26"/>
      <c r="AO37" s="26">
        <v>4</v>
      </c>
      <c r="AP37" s="26"/>
      <c r="AQ37" s="26"/>
      <c r="AR37" s="26"/>
      <c r="AS37" s="26">
        <v>4</v>
      </c>
      <c r="AT37" s="26"/>
      <c r="AU37" s="49">
        <f t="shared" si="2"/>
        <v>23.5</v>
      </c>
      <c r="AV37" s="49">
        <f t="shared" si="0"/>
        <v>0</v>
      </c>
      <c r="AW37" s="49">
        <f t="shared" si="1"/>
        <v>8</v>
      </c>
    </row>
    <row r="38" spans="1:49" x14ac:dyDescent="0.25">
      <c r="A38" s="26" t="s">
        <v>71</v>
      </c>
      <c r="B38" s="26"/>
      <c r="C38" s="26"/>
      <c r="D38" s="26"/>
      <c r="E38" s="26"/>
      <c r="F38" s="26"/>
      <c r="G38" s="26"/>
      <c r="H38" s="4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43"/>
      <c r="Z38" s="26"/>
      <c r="AA38" s="26"/>
      <c r="AB38" s="26"/>
      <c r="AC38" s="26"/>
      <c r="AD38" s="26"/>
      <c r="AE38" s="26"/>
      <c r="AF38" s="26">
        <v>3</v>
      </c>
      <c r="AG38" s="26"/>
      <c r="AH38" s="26"/>
      <c r="AI38" s="26"/>
      <c r="AJ38" s="26">
        <v>4.5</v>
      </c>
      <c r="AK38" s="26"/>
      <c r="AL38" s="43"/>
      <c r="AM38" s="26">
        <v>1</v>
      </c>
      <c r="AN38" s="26"/>
      <c r="AO38" s="26"/>
      <c r="AP38" s="26"/>
      <c r="AQ38" s="26">
        <v>4.5</v>
      </c>
      <c r="AR38" s="26">
        <v>0.5</v>
      </c>
      <c r="AS38" s="26">
        <v>4</v>
      </c>
      <c r="AT38" s="26"/>
      <c r="AU38" s="49">
        <f t="shared" si="2"/>
        <v>17</v>
      </c>
      <c r="AV38" s="49">
        <f t="shared" si="0"/>
        <v>0.5</v>
      </c>
      <c r="AW38" s="49">
        <f t="shared" si="1"/>
        <v>0</v>
      </c>
    </row>
    <row r="39" spans="1:49" x14ac:dyDescent="0.25">
      <c r="A39" s="26" t="s">
        <v>72</v>
      </c>
      <c r="B39" s="26"/>
      <c r="C39" s="26"/>
      <c r="D39" s="26"/>
      <c r="E39" s="26"/>
      <c r="F39" s="26"/>
      <c r="G39" s="26"/>
      <c r="H39" s="43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43"/>
      <c r="Z39" s="26"/>
      <c r="AA39" s="26"/>
      <c r="AB39" s="26"/>
      <c r="AC39" s="26"/>
      <c r="AD39" s="26"/>
      <c r="AE39" s="26"/>
      <c r="AF39" s="26">
        <v>1</v>
      </c>
      <c r="AG39" s="26"/>
      <c r="AH39" s="26">
        <v>1</v>
      </c>
      <c r="AI39" s="26"/>
      <c r="AJ39" s="26">
        <v>1</v>
      </c>
      <c r="AK39" s="26"/>
      <c r="AL39" s="43"/>
      <c r="AM39" s="26">
        <v>4.5</v>
      </c>
      <c r="AN39" s="26"/>
      <c r="AO39" s="26">
        <v>4</v>
      </c>
      <c r="AP39" s="26"/>
      <c r="AQ39" s="26">
        <v>4</v>
      </c>
      <c r="AR39" s="26"/>
      <c r="AS39" s="26">
        <v>4.5</v>
      </c>
      <c r="AT39" s="26">
        <v>0.5</v>
      </c>
      <c r="AU39" s="49">
        <f t="shared" si="2"/>
        <v>20</v>
      </c>
      <c r="AV39" s="49">
        <f t="shared" si="0"/>
        <v>0.5</v>
      </c>
      <c r="AW39" s="49">
        <f t="shared" si="1"/>
        <v>0</v>
      </c>
    </row>
    <row r="40" spans="1:49" x14ac:dyDescent="0.25">
      <c r="A40" s="26" t="s">
        <v>73</v>
      </c>
      <c r="B40" s="26"/>
      <c r="C40" s="26"/>
      <c r="D40" s="26"/>
      <c r="E40" s="26"/>
      <c r="F40" s="26"/>
      <c r="G40" s="26"/>
      <c r="H40" s="43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43"/>
      <c r="Z40" s="26"/>
      <c r="AA40" s="26"/>
      <c r="AB40" s="26"/>
      <c r="AC40" s="26"/>
      <c r="AD40" s="26"/>
      <c r="AE40" s="26"/>
      <c r="AF40" s="26">
        <v>2.5</v>
      </c>
      <c r="AG40" s="26"/>
      <c r="AH40" s="26"/>
      <c r="AI40" s="26"/>
      <c r="AJ40" s="26">
        <v>3.5</v>
      </c>
      <c r="AK40" s="26"/>
      <c r="AL40" s="43">
        <v>8</v>
      </c>
      <c r="AM40" s="26">
        <v>1</v>
      </c>
      <c r="AN40" s="26"/>
      <c r="AO40" s="26">
        <v>3.5</v>
      </c>
      <c r="AP40" s="26"/>
      <c r="AQ40" s="26">
        <v>3.5</v>
      </c>
      <c r="AR40" s="26"/>
      <c r="AS40" s="26">
        <v>1</v>
      </c>
      <c r="AT40" s="26"/>
      <c r="AU40" s="49">
        <f t="shared" si="2"/>
        <v>15</v>
      </c>
      <c r="AV40" s="49">
        <f t="shared" si="0"/>
        <v>0</v>
      </c>
      <c r="AW40" s="49">
        <f t="shared" si="1"/>
        <v>8</v>
      </c>
    </row>
    <row r="41" spans="1:49" x14ac:dyDescent="0.25">
      <c r="A41" s="26" t="s">
        <v>74</v>
      </c>
      <c r="B41" s="26"/>
      <c r="C41" s="26"/>
      <c r="D41" s="26"/>
      <c r="E41" s="26"/>
      <c r="F41" s="26"/>
      <c r="G41" s="26"/>
      <c r="H41" s="4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43"/>
      <c r="Z41" s="26"/>
      <c r="AA41" s="26"/>
      <c r="AB41" s="26"/>
      <c r="AC41" s="26"/>
      <c r="AD41" s="26"/>
      <c r="AE41" s="26"/>
      <c r="AF41" s="26">
        <v>2.5</v>
      </c>
      <c r="AG41" s="26"/>
      <c r="AH41" s="26"/>
      <c r="AI41" s="26"/>
      <c r="AJ41" s="26">
        <v>3.5</v>
      </c>
      <c r="AK41" s="26"/>
      <c r="AL41" s="43">
        <v>8</v>
      </c>
      <c r="AM41" s="26">
        <v>1</v>
      </c>
      <c r="AN41" s="26"/>
      <c r="AO41" s="26">
        <v>3.5</v>
      </c>
      <c r="AP41" s="26"/>
      <c r="AQ41" s="26">
        <v>3.5</v>
      </c>
      <c r="AR41" s="26"/>
      <c r="AS41" s="26">
        <v>1</v>
      </c>
      <c r="AT41" s="26"/>
      <c r="AU41" s="49">
        <f t="shared" si="2"/>
        <v>15</v>
      </c>
      <c r="AV41" s="49">
        <f t="shared" si="0"/>
        <v>0</v>
      </c>
      <c r="AW41" s="49">
        <f t="shared" si="1"/>
        <v>8</v>
      </c>
    </row>
    <row r="42" spans="1:49" x14ac:dyDescent="0.25">
      <c r="A42" s="26" t="s">
        <v>75</v>
      </c>
      <c r="B42" s="26"/>
      <c r="C42" s="26"/>
      <c r="D42" s="26"/>
      <c r="E42" s="26"/>
      <c r="F42" s="26"/>
      <c r="G42" s="26"/>
      <c r="H42" s="4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43"/>
      <c r="Z42" s="26"/>
      <c r="AA42" s="26"/>
      <c r="AB42" s="26"/>
      <c r="AC42" s="26"/>
      <c r="AD42" s="26"/>
      <c r="AE42" s="26"/>
      <c r="AF42" s="26">
        <v>1</v>
      </c>
      <c r="AG42" s="26"/>
      <c r="AH42" s="26">
        <v>3.5</v>
      </c>
      <c r="AI42" s="26"/>
      <c r="AJ42" s="26">
        <v>3.5</v>
      </c>
      <c r="AK42" s="26"/>
      <c r="AL42" s="43">
        <v>8</v>
      </c>
      <c r="AM42" s="26">
        <v>4.5</v>
      </c>
      <c r="AN42" s="26">
        <v>0.5</v>
      </c>
      <c r="AO42" s="26">
        <v>4.5</v>
      </c>
      <c r="AP42" s="26">
        <v>0.5</v>
      </c>
      <c r="AQ42" s="26"/>
      <c r="AR42" s="26"/>
      <c r="AS42" s="26">
        <v>4.5</v>
      </c>
      <c r="AT42" s="26">
        <v>0.5</v>
      </c>
      <c r="AU42" s="49">
        <f t="shared" si="2"/>
        <v>21.5</v>
      </c>
      <c r="AV42" s="49">
        <f t="shared" si="0"/>
        <v>1.5</v>
      </c>
      <c r="AW42" s="49">
        <f t="shared" si="1"/>
        <v>8</v>
      </c>
    </row>
    <row r="43" spans="1:49" x14ac:dyDescent="0.25">
      <c r="A43" s="26" t="s">
        <v>76</v>
      </c>
      <c r="B43" s="26"/>
      <c r="C43" s="26"/>
      <c r="D43" s="26"/>
      <c r="E43" s="26"/>
      <c r="F43" s="26"/>
      <c r="G43" s="26"/>
      <c r="H43" s="4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43"/>
      <c r="Z43" s="26"/>
      <c r="AA43" s="26"/>
      <c r="AB43" s="26"/>
      <c r="AC43" s="26"/>
      <c r="AD43" s="26"/>
      <c r="AE43" s="26"/>
      <c r="AF43" s="26">
        <v>1</v>
      </c>
      <c r="AG43" s="26"/>
      <c r="AH43" s="26">
        <v>3.5</v>
      </c>
      <c r="AI43" s="26"/>
      <c r="AJ43" s="26">
        <v>3.5</v>
      </c>
      <c r="AK43" s="26"/>
      <c r="AL43" s="43">
        <v>8</v>
      </c>
      <c r="AM43" s="26">
        <v>4.5</v>
      </c>
      <c r="AN43" s="26">
        <v>0.5</v>
      </c>
      <c r="AO43" s="26">
        <v>4.5</v>
      </c>
      <c r="AP43" s="26">
        <v>0.5</v>
      </c>
      <c r="AQ43" s="26">
        <v>4.5</v>
      </c>
      <c r="AR43" s="26">
        <v>0.5</v>
      </c>
      <c r="AS43" s="26">
        <v>4.5</v>
      </c>
      <c r="AT43" s="26">
        <v>0.5</v>
      </c>
      <c r="AU43" s="49">
        <f t="shared" si="2"/>
        <v>26</v>
      </c>
      <c r="AV43" s="49">
        <f t="shared" si="0"/>
        <v>2</v>
      </c>
      <c r="AW43" s="49">
        <f t="shared" si="1"/>
        <v>8</v>
      </c>
    </row>
    <row r="44" spans="1:49" x14ac:dyDescent="0.25">
      <c r="A44" s="26" t="s">
        <v>77</v>
      </c>
      <c r="B44" s="26"/>
      <c r="C44" s="26"/>
      <c r="D44" s="26"/>
      <c r="E44" s="26"/>
      <c r="F44" s="26"/>
      <c r="G44" s="26"/>
      <c r="H44" s="43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43"/>
      <c r="Z44" s="26"/>
      <c r="AA44" s="26"/>
      <c r="AB44" s="26"/>
      <c r="AC44" s="26"/>
      <c r="AD44" s="26"/>
      <c r="AE44" s="26"/>
      <c r="AF44" s="26">
        <v>2.5</v>
      </c>
      <c r="AG44" s="26"/>
      <c r="AH44" s="26"/>
      <c r="AI44" s="26"/>
      <c r="AJ44" s="26">
        <v>3.5</v>
      </c>
      <c r="AK44" s="26"/>
      <c r="AL44" s="43">
        <v>8</v>
      </c>
      <c r="AM44" s="26">
        <v>1</v>
      </c>
      <c r="AN44" s="26"/>
      <c r="AO44" s="26">
        <v>3.5</v>
      </c>
      <c r="AP44" s="26"/>
      <c r="AQ44" s="26">
        <v>3.5</v>
      </c>
      <c r="AR44" s="26"/>
      <c r="AS44" s="26">
        <v>1</v>
      </c>
      <c r="AT44" s="26"/>
      <c r="AU44" s="49">
        <f t="shared" si="2"/>
        <v>15</v>
      </c>
      <c r="AV44" s="49">
        <f t="shared" si="0"/>
        <v>0</v>
      </c>
      <c r="AW44" s="49">
        <f t="shared" si="1"/>
        <v>8</v>
      </c>
    </row>
    <row r="45" spans="1:49" x14ac:dyDescent="0.25">
      <c r="A45" s="26" t="s">
        <v>78</v>
      </c>
      <c r="B45" s="26"/>
      <c r="C45" s="26"/>
      <c r="D45" s="26"/>
      <c r="E45" s="26"/>
      <c r="F45" s="26"/>
      <c r="G45" s="26"/>
      <c r="H45" s="43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4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43"/>
      <c r="AM45" s="26"/>
      <c r="AN45" s="26"/>
      <c r="AO45" s="26"/>
      <c r="AP45" s="26"/>
      <c r="AQ45" s="26"/>
      <c r="AR45" s="26"/>
      <c r="AS45" s="26"/>
      <c r="AT45" s="26"/>
      <c r="AU45" s="49">
        <f t="shared" si="2"/>
        <v>0</v>
      </c>
      <c r="AV45" s="49">
        <f t="shared" si="0"/>
        <v>0</v>
      </c>
      <c r="AW45" s="49">
        <f t="shared" si="1"/>
        <v>0</v>
      </c>
    </row>
    <row r="46" spans="1:49" x14ac:dyDescent="0.25">
      <c r="A46" s="26" t="s">
        <v>79</v>
      </c>
      <c r="B46" s="26"/>
      <c r="C46" s="26"/>
      <c r="D46" s="26"/>
      <c r="E46" s="26"/>
      <c r="F46" s="26"/>
      <c r="G46" s="26"/>
      <c r="H46" s="43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43"/>
      <c r="Z46" s="26"/>
      <c r="AA46" s="26"/>
      <c r="AB46" s="26"/>
      <c r="AC46" s="26"/>
      <c r="AD46" s="26"/>
      <c r="AE46" s="26"/>
      <c r="AF46" s="26"/>
      <c r="AG46" s="26"/>
      <c r="AH46" s="26">
        <v>3.5</v>
      </c>
      <c r="AI46" s="26"/>
      <c r="AJ46" s="26">
        <v>1</v>
      </c>
      <c r="AK46" s="26"/>
      <c r="AL46" s="43">
        <v>8</v>
      </c>
      <c r="AM46" s="26">
        <v>4.5</v>
      </c>
      <c r="AN46" s="26"/>
      <c r="AO46" s="26">
        <v>4</v>
      </c>
      <c r="AP46" s="26"/>
      <c r="AQ46" s="26"/>
      <c r="AR46" s="26"/>
      <c r="AS46" s="26">
        <v>4</v>
      </c>
      <c r="AT46" s="26"/>
      <c r="AU46" s="49">
        <f t="shared" si="2"/>
        <v>17</v>
      </c>
      <c r="AV46" s="49">
        <f t="shared" si="0"/>
        <v>0</v>
      </c>
      <c r="AW46" s="49">
        <f t="shared" si="1"/>
        <v>8</v>
      </c>
    </row>
    <row r="47" spans="1:49" x14ac:dyDescent="0.25">
      <c r="A47" s="26" t="s">
        <v>80</v>
      </c>
      <c r="B47" s="26"/>
      <c r="C47" s="26"/>
      <c r="D47" s="26"/>
      <c r="E47" s="26"/>
      <c r="F47" s="26"/>
      <c r="G47" s="26"/>
      <c r="H47" s="43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4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43"/>
      <c r="AM47" s="26">
        <v>1</v>
      </c>
      <c r="AN47" s="26"/>
      <c r="AO47" s="26">
        <v>1</v>
      </c>
      <c r="AP47" s="26"/>
      <c r="AQ47" s="26">
        <v>1</v>
      </c>
      <c r="AR47" s="26"/>
      <c r="AS47" s="26">
        <v>3.5</v>
      </c>
      <c r="AT47" s="26"/>
      <c r="AU47" s="49">
        <f t="shared" si="2"/>
        <v>6.5</v>
      </c>
      <c r="AV47" s="49">
        <f t="shared" si="0"/>
        <v>0</v>
      </c>
      <c r="AW47" s="49">
        <f t="shared" si="1"/>
        <v>0</v>
      </c>
    </row>
    <row r="48" spans="1:49" x14ac:dyDescent="0.25">
      <c r="A48" s="26" t="s">
        <v>81</v>
      </c>
      <c r="B48" s="26"/>
      <c r="C48" s="26"/>
      <c r="D48" s="26"/>
      <c r="E48" s="26"/>
      <c r="F48" s="26"/>
      <c r="G48" s="26"/>
      <c r="H48" s="43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4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43">
        <v>8</v>
      </c>
      <c r="AM48" s="26">
        <v>1</v>
      </c>
      <c r="AN48" s="26"/>
      <c r="AO48" s="26"/>
      <c r="AP48" s="26"/>
      <c r="AQ48" s="26"/>
      <c r="AR48" s="26"/>
      <c r="AS48" s="26"/>
      <c r="AT48" s="26"/>
      <c r="AU48" s="49">
        <f t="shared" si="2"/>
        <v>1</v>
      </c>
      <c r="AV48" s="49">
        <f t="shared" si="0"/>
        <v>0</v>
      </c>
      <c r="AW48" s="49">
        <f t="shared" si="1"/>
        <v>8</v>
      </c>
    </row>
    <row r="49" spans="1:49" x14ac:dyDescent="0.25">
      <c r="A49" s="26" t="s">
        <v>82</v>
      </c>
      <c r="B49" s="26"/>
      <c r="C49" s="26"/>
      <c r="D49" s="26"/>
      <c r="E49" s="26"/>
      <c r="F49" s="26"/>
      <c r="G49" s="26"/>
      <c r="H49" s="43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4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43"/>
      <c r="AM49" s="26"/>
      <c r="AN49" s="26"/>
      <c r="AO49" s="26">
        <v>4</v>
      </c>
      <c r="AP49" s="26"/>
      <c r="AQ49" s="26">
        <v>4</v>
      </c>
      <c r="AR49" s="26"/>
      <c r="AS49" s="26">
        <v>3.5</v>
      </c>
      <c r="AT49" s="26"/>
      <c r="AU49" s="49">
        <f t="shared" si="2"/>
        <v>11.5</v>
      </c>
      <c r="AV49" s="49">
        <f t="shared" si="0"/>
        <v>0</v>
      </c>
      <c r="AW49" s="49">
        <f t="shared" si="1"/>
        <v>0</v>
      </c>
    </row>
    <row r="50" spans="1:49" x14ac:dyDescent="0.25">
      <c r="A50" s="26" t="s">
        <v>83</v>
      </c>
      <c r="B50" s="26"/>
      <c r="C50" s="26"/>
      <c r="D50" s="26"/>
      <c r="E50" s="26"/>
      <c r="F50" s="26"/>
      <c r="G50" s="26"/>
      <c r="H50" s="43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4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43"/>
      <c r="AM50" s="26">
        <v>4.5</v>
      </c>
      <c r="AN50" s="26"/>
      <c r="AO50" s="26">
        <v>4.5</v>
      </c>
      <c r="AP50" s="26">
        <v>1</v>
      </c>
      <c r="AQ50" s="26">
        <v>4.5</v>
      </c>
      <c r="AR50" s="26">
        <v>0.5</v>
      </c>
      <c r="AS50" s="26">
        <v>4.5</v>
      </c>
      <c r="AT50" s="26"/>
      <c r="AU50" s="49">
        <f t="shared" si="2"/>
        <v>18</v>
      </c>
      <c r="AV50" s="49">
        <f t="shared" si="0"/>
        <v>1.5</v>
      </c>
      <c r="AW50" s="49">
        <f t="shared" si="1"/>
        <v>0</v>
      </c>
    </row>
    <row r="51" spans="1:49" x14ac:dyDescent="0.25">
      <c r="A51" s="26" t="s">
        <v>84</v>
      </c>
      <c r="B51" s="26"/>
      <c r="C51" s="26"/>
      <c r="D51" s="26"/>
      <c r="E51" s="26"/>
      <c r="F51" s="26"/>
      <c r="G51" s="26"/>
      <c r="H51" s="43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4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43"/>
      <c r="AM51" s="26">
        <v>4.5</v>
      </c>
      <c r="AN51" s="26"/>
      <c r="AO51" s="26">
        <v>4.5</v>
      </c>
      <c r="AP51" s="26">
        <v>1</v>
      </c>
      <c r="AQ51" s="26">
        <v>4.5</v>
      </c>
      <c r="AR51" s="26">
        <v>0.5</v>
      </c>
      <c r="AS51" s="26">
        <v>4.5</v>
      </c>
      <c r="AT51" s="26"/>
      <c r="AU51" s="49">
        <f t="shared" si="2"/>
        <v>18</v>
      </c>
      <c r="AV51" s="49">
        <f t="shared" si="0"/>
        <v>1.5</v>
      </c>
      <c r="AW51" s="49">
        <f t="shared" si="1"/>
        <v>0</v>
      </c>
    </row>
    <row r="52" spans="1:49" x14ac:dyDescent="0.25">
      <c r="A52" s="26" t="s">
        <v>85</v>
      </c>
      <c r="B52" s="26"/>
      <c r="C52" s="26"/>
      <c r="D52" s="26"/>
      <c r="E52" s="26"/>
      <c r="F52" s="26"/>
      <c r="G52" s="26"/>
      <c r="H52" s="43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4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43"/>
      <c r="AM52" s="26"/>
      <c r="AN52" s="26"/>
      <c r="AO52" s="26"/>
      <c r="AP52" s="26"/>
      <c r="AQ52" s="26">
        <v>4.5</v>
      </c>
      <c r="AR52" s="26"/>
      <c r="AS52" s="26">
        <v>4.5</v>
      </c>
      <c r="AT52" s="26"/>
      <c r="AU52" s="49">
        <f t="shared" si="2"/>
        <v>9</v>
      </c>
      <c r="AV52" s="49">
        <f t="shared" si="0"/>
        <v>0</v>
      </c>
      <c r="AW52" s="49">
        <f t="shared" si="1"/>
        <v>0</v>
      </c>
    </row>
    <row r="53" spans="1:49" x14ac:dyDescent="0.25">
      <c r="A53" s="26" t="s">
        <v>86</v>
      </c>
      <c r="B53" s="26"/>
      <c r="C53" s="26"/>
      <c r="D53" s="26"/>
      <c r="E53" s="26"/>
      <c r="F53" s="26"/>
      <c r="G53" s="26"/>
      <c r="H53" s="43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4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43"/>
      <c r="AM53" s="26">
        <v>4.5</v>
      </c>
      <c r="AN53" s="26"/>
      <c r="AO53" s="26">
        <v>4</v>
      </c>
      <c r="AP53" s="26"/>
      <c r="AQ53" s="26">
        <v>1</v>
      </c>
      <c r="AR53" s="26"/>
      <c r="AS53" s="26"/>
      <c r="AT53" s="26"/>
      <c r="AU53" s="49">
        <f t="shared" si="2"/>
        <v>9.5</v>
      </c>
      <c r="AV53" s="49">
        <f t="shared" si="0"/>
        <v>0</v>
      </c>
      <c r="AW53" s="49">
        <f t="shared" si="1"/>
        <v>0</v>
      </c>
    </row>
    <row r="54" spans="1:49" x14ac:dyDescent="0.25">
      <c r="A54" s="26" t="s">
        <v>87</v>
      </c>
      <c r="B54" s="26"/>
      <c r="C54" s="26"/>
      <c r="D54" s="26"/>
      <c r="E54" s="26"/>
      <c r="F54" s="26"/>
      <c r="G54" s="26"/>
      <c r="H54" s="43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4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43"/>
      <c r="AM54" s="26"/>
      <c r="AN54" s="26"/>
      <c r="AO54" s="26">
        <v>3</v>
      </c>
      <c r="AP54" s="26"/>
      <c r="AQ54" s="26">
        <v>3</v>
      </c>
      <c r="AR54" s="26"/>
      <c r="AS54" s="26">
        <v>3</v>
      </c>
      <c r="AT54" s="26"/>
      <c r="AU54" s="49">
        <f t="shared" si="2"/>
        <v>9</v>
      </c>
      <c r="AV54" s="49">
        <f t="shared" si="0"/>
        <v>0</v>
      </c>
      <c r="AW54" s="49">
        <f t="shared" si="1"/>
        <v>0</v>
      </c>
    </row>
    <row r="55" spans="1:49" x14ac:dyDescent="0.25">
      <c r="A55" s="26" t="s">
        <v>88</v>
      </c>
      <c r="B55" s="26"/>
      <c r="C55" s="26"/>
      <c r="D55" s="26"/>
      <c r="E55" s="26"/>
      <c r="F55" s="26"/>
      <c r="G55" s="26"/>
      <c r="H55" s="43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43"/>
      <c r="Z55" s="26"/>
      <c r="AA55" s="26"/>
      <c r="AB55" s="26"/>
      <c r="AC55" s="26"/>
      <c r="AD55" s="26">
        <v>1</v>
      </c>
      <c r="AE55" s="26"/>
      <c r="AF55" s="26">
        <v>1</v>
      </c>
      <c r="AG55" s="26"/>
      <c r="AH55" s="26">
        <v>1</v>
      </c>
      <c r="AI55" s="26"/>
      <c r="AJ55" s="26">
        <v>1</v>
      </c>
      <c r="AK55" s="26"/>
      <c r="AL55" s="43"/>
      <c r="AM55" s="26">
        <v>1</v>
      </c>
      <c r="AN55" s="26"/>
      <c r="AO55" s="26">
        <v>1</v>
      </c>
      <c r="AP55" s="26"/>
      <c r="AQ55" s="26">
        <v>1</v>
      </c>
      <c r="AR55" s="26"/>
      <c r="AS55" s="26"/>
      <c r="AT55" s="26"/>
      <c r="AU55" s="49">
        <f t="shared" si="2"/>
        <v>7</v>
      </c>
      <c r="AV55" s="49">
        <f t="shared" si="0"/>
        <v>0</v>
      </c>
      <c r="AW55" s="49">
        <f t="shared" si="1"/>
        <v>0</v>
      </c>
    </row>
  </sheetData>
  <autoFilter ref="A4:A40" xr:uid="{00000000-0009-0000-0000-000000000000}"/>
  <mergeCells count="22">
    <mergeCell ref="W2:X2"/>
    <mergeCell ref="M2:N2"/>
    <mergeCell ref="O2:P2"/>
    <mergeCell ref="Q2:R2"/>
    <mergeCell ref="S2:T2"/>
    <mergeCell ref="U2:V2"/>
    <mergeCell ref="AM2:AN2"/>
    <mergeCell ref="AO2:AP2"/>
    <mergeCell ref="AQ2:AR2"/>
    <mergeCell ref="AS2:AT2"/>
    <mergeCell ref="AU2:AW2"/>
    <mergeCell ref="AF2:AG2"/>
    <mergeCell ref="AH2:AI2"/>
    <mergeCell ref="AJ2:AK2"/>
    <mergeCell ref="Z2:AA2"/>
    <mergeCell ref="AB2:AC2"/>
    <mergeCell ref="AD2:AE2"/>
    <mergeCell ref="B2:C2"/>
    <mergeCell ref="D2:E2"/>
    <mergeCell ref="F2:G2"/>
    <mergeCell ref="I2:J2"/>
    <mergeCell ref="K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G4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9" sqref="B29"/>
    </sheetView>
  </sheetViews>
  <sheetFormatPr defaultRowHeight="15" x14ac:dyDescent="0.25"/>
  <cols>
    <col min="1" max="1" width="13.28515625" style="108" customWidth="1"/>
    <col min="2" max="2" width="16" customWidth="1"/>
    <col min="3" max="3" width="20.5703125" style="87" customWidth="1"/>
    <col min="4" max="4" width="24.7109375" style="87" bestFit="1" customWidth="1"/>
    <col min="5" max="5" width="29.5703125" style="87" customWidth="1"/>
    <col min="6" max="6" width="22.85546875" style="87" bestFit="1" customWidth="1"/>
    <col min="7" max="7" width="15.42578125" style="87" bestFit="1" customWidth="1"/>
    <col min="8" max="8" width="21.7109375" style="87" bestFit="1" customWidth="1"/>
    <col min="9" max="9" width="30.140625" style="87" customWidth="1"/>
    <col min="10" max="10" width="22.42578125" style="87" bestFit="1" customWidth="1"/>
    <col min="11" max="11" width="27.5703125" style="87" bestFit="1" customWidth="1"/>
    <col min="12" max="12" width="21.85546875" style="87" bestFit="1" customWidth="1"/>
    <col min="13" max="13" width="25" style="87" bestFit="1" customWidth="1"/>
    <col min="14" max="14" width="23.85546875" style="87" bestFit="1" customWidth="1"/>
    <col min="15" max="15" width="20.5703125" style="87" bestFit="1" customWidth="1"/>
    <col min="16" max="16" width="20.28515625" style="87" bestFit="1" customWidth="1"/>
    <col min="17" max="17" width="34.7109375" style="87" bestFit="1" customWidth="1"/>
    <col min="18" max="18" width="23.7109375" style="87" bestFit="1" customWidth="1"/>
    <col min="19" max="19" width="17.5703125" style="87" bestFit="1" customWidth="1"/>
    <col min="20" max="20" width="22.42578125" style="87" bestFit="1" customWidth="1"/>
    <col min="21" max="21" width="21.140625" style="87" bestFit="1" customWidth="1"/>
    <col min="22" max="22" width="22.7109375" style="87" bestFit="1" customWidth="1"/>
    <col min="23" max="23" width="18.42578125" style="87" bestFit="1" customWidth="1"/>
    <col min="24" max="24" width="22.140625" style="87" bestFit="1" customWidth="1"/>
    <col min="25" max="25" width="22.5703125" style="87" bestFit="1" customWidth="1"/>
    <col min="26" max="26" width="24" style="87" bestFit="1" customWidth="1"/>
    <col min="27" max="27" width="23.85546875" style="87" bestFit="1" customWidth="1"/>
    <col min="28" max="28" width="21.140625" style="87" bestFit="1" customWidth="1"/>
    <col min="29" max="29" width="21.42578125" style="87" bestFit="1" customWidth="1"/>
    <col min="30" max="30" width="30.7109375" style="87" bestFit="1" customWidth="1"/>
    <col min="31" max="31" width="27.7109375" style="87" bestFit="1" customWidth="1"/>
    <col min="32" max="32" width="37.7109375" style="87" customWidth="1"/>
    <col min="33" max="33" width="37.7109375" style="87" bestFit="1" customWidth="1"/>
    <col min="34" max="34" width="18" style="87" bestFit="1" customWidth="1"/>
    <col min="35" max="35" width="37" style="87" bestFit="1" customWidth="1"/>
    <col min="36" max="36" width="18.42578125" style="87" bestFit="1" customWidth="1"/>
    <col min="37" max="37" width="24.5703125" style="87" bestFit="1" customWidth="1"/>
    <col min="38" max="38" width="16.140625" style="87" bestFit="1" customWidth="1"/>
    <col min="39" max="39" width="23.5703125" style="87" bestFit="1" customWidth="1"/>
    <col min="40" max="40" width="24.28515625" style="87" bestFit="1" customWidth="1"/>
    <col min="41" max="41" width="20.140625" style="87" bestFit="1" customWidth="1"/>
    <col min="42" max="42" width="16.42578125" style="87" bestFit="1" customWidth="1"/>
    <col min="43" max="43" width="23.85546875" style="87" bestFit="1" customWidth="1"/>
    <col min="44" max="44" width="26.28515625" style="87" customWidth="1"/>
    <col min="45" max="45" width="20.42578125" style="87" bestFit="1" customWidth="1"/>
    <col min="46" max="46" width="25" style="87" bestFit="1" customWidth="1"/>
    <col min="47" max="47" width="25.28515625" style="87" bestFit="1" customWidth="1"/>
    <col min="48" max="48" width="27.7109375" style="87" bestFit="1" customWidth="1"/>
    <col min="49" max="49" width="24" style="87" bestFit="1" customWidth="1"/>
    <col min="50" max="50" width="23.140625" style="87" bestFit="1" customWidth="1"/>
    <col min="51" max="51" width="23.42578125" style="87" bestFit="1" customWidth="1"/>
    <col min="52" max="52" width="23.42578125" style="87" customWidth="1"/>
    <col min="53" max="53" width="20.7109375" style="87" bestFit="1" customWidth="1"/>
    <col min="54" max="54" width="27.140625" style="87" bestFit="1" customWidth="1"/>
    <col min="55" max="55" width="21.42578125" style="87" customWidth="1"/>
    <col min="56" max="56" width="24.42578125" style="87" customWidth="1"/>
    <col min="57" max="57" width="22.7109375" style="87" customWidth="1"/>
    <col min="58" max="58" width="23.28515625" style="87" customWidth="1"/>
    <col min="59" max="59" width="24.5703125" customWidth="1"/>
  </cols>
  <sheetData>
    <row r="2" spans="1:59" s="104" customFormat="1" ht="21" customHeight="1" x14ac:dyDescent="0.25">
      <c r="A2" s="240" t="s">
        <v>93</v>
      </c>
      <c r="B2" s="241"/>
      <c r="C2" s="105" t="s">
        <v>39</v>
      </c>
      <c r="D2" s="105" t="s">
        <v>40</v>
      </c>
      <c r="E2" s="105" t="s">
        <v>41</v>
      </c>
      <c r="F2" s="105" t="s">
        <v>42</v>
      </c>
      <c r="G2" s="105" t="s">
        <v>43</v>
      </c>
      <c r="H2" s="105" t="s">
        <v>44</v>
      </c>
      <c r="I2" s="105" t="s">
        <v>45</v>
      </c>
      <c r="J2" s="105" t="s">
        <v>46</v>
      </c>
      <c r="K2" s="105" t="s">
        <v>47</v>
      </c>
      <c r="L2" s="105" t="s">
        <v>48</v>
      </c>
      <c r="M2" s="105" t="s">
        <v>49</v>
      </c>
      <c r="N2" s="105" t="s">
        <v>50</v>
      </c>
      <c r="O2" s="105" t="s">
        <v>51</v>
      </c>
      <c r="P2" s="105" t="s">
        <v>52</v>
      </c>
      <c r="Q2" s="105" t="s">
        <v>53</v>
      </c>
      <c r="R2" s="105" t="s">
        <v>54</v>
      </c>
      <c r="S2" s="105" t="s">
        <v>55</v>
      </c>
      <c r="T2" s="105" t="s">
        <v>56</v>
      </c>
      <c r="U2" s="105" t="s">
        <v>57</v>
      </c>
      <c r="V2" s="105" t="s">
        <v>58</v>
      </c>
      <c r="W2" s="105" t="s">
        <v>59</v>
      </c>
      <c r="X2" s="105" t="s">
        <v>60</v>
      </c>
      <c r="Y2" s="105" t="s">
        <v>61</v>
      </c>
      <c r="Z2" s="105" t="s">
        <v>62</v>
      </c>
      <c r="AA2" s="105" t="s">
        <v>63</v>
      </c>
      <c r="AB2" s="105" t="s">
        <v>64</v>
      </c>
      <c r="AC2" s="105" t="s">
        <v>65</v>
      </c>
      <c r="AD2" s="105" t="s">
        <v>235</v>
      </c>
      <c r="AE2" s="105" t="s">
        <v>66</v>
      </c>
      <c r="AF2" s="105" t="s">
        <v>67</v>
      </c>
      <c r="AG2" s="105" t="s">
        <v>96</v>
      </c>
      <c r="AH2" s="105" t="s">
        <v>68</v>
      </c>
      <c r="AI2" s="105" t="s">
        <v>69</v>
      </c>
      <c r="AJ2" s="105" t="s">
        <v>70</v>
      </c>
      <c r="AK2" s="105" t="s">
        <v>71</v>
      </c>
      <c r="AL2" s="105" t="s">
        <v>72</v>
      </c>
      <c r="AM2" s="105" t="s">
        <v>73</v>
      </c>
      <c r="AN2" s="105" t="s">
        <v>74</v>
      </c>
      <c r="AO2" s="105" t="s">
        <v>75</v>
      </c>
      <c r="AP2" s="105" t="s">
        <v>76</v>
      </c>
      <c r="AQ2" s="105" t="s">
        <v>77</v>
      </c>
      <c r="AR2" s="105" t="s">
        <v>196</v>
      </c>
      <c r="AS2" s="105" t="s">
        <v>79</v>
      </c>
      <c r="AT2" s="105" t="s">
        <v>80</v>
      </c>
      <c r="AU2" s="105" t="s">
        <v>81</v>
      </c>
      <c r="AV2" s="105" t="s">
        <v>82</v>
      </c>
      <c r="AW2" s="105" t="s">
        <v>83</v>
      </c>
      <c r="AX2" s="105" t="s">
        <v>84</v>
      </c>
      <c r="AY2" s="105" t="s">
        <v>85</v>
      </c>
      <c r="AZ2" s="105" t="s">
        <v>197</v>
      </c>
      <c r="BA2" s="105" t="s">
        <v>87</v>
      </c>
      <c r="BB2" s="105" t="s">
        <v>88</v>
      </c>
      <c r="BC2" s="105" t="s">
        <v>202</v>
      </c>
      <c r="BD2" s="105" t="s">
        <v>186</v>
      </c>
      <c r="BE2" s="105" t="s">
        <v>187</v>
      </c>
      <c r="BF2" s="105" t="s">
        <v>188</v>
      </c>
      <c r="BG2" s="104" t="s">
        <v>229</v>
      </c>
    </row>
    <row r="3" spans="1:59" s="97" customFormat="1" ht="14.25" customHeight="1" x14ac:dyDescent="0.25">
      <c r="A3" s="238" t="s">
        <v>150</v>
      </c>
      <c r="B3" s="239"/>
      <c r="C3" s="98">
        <v>26</v>
      </c>
      <c r="D3" s="98">
        <v>26</v>
      </c>
      <c r="E3" s="98">
        <v>26</v>
      </c>
      <c r="F3" s="98">
        <v>26</v>
      </c>
      <c r="G3" s="98">
        <v>26</v>
      </c>
      <c r="H3" s="98">
        <v>26</v>
      </c>
      <c r="I3" s="98">
        <v>26</v>
      </c>
      <c r="J3" s="98">
        <v>26</v>
      </c>
      <c r="K3" s="98">
        <v>26</v>
      </c>
      <c r="L3" s="98">
        <v>26</v>
      </c>
      <c r="M3" s="98">
        <v>26</v>
      </c>
      <c r="N3" s="98">
        <v>26</v>
      </c>
      <c r="O3" s="98">
        <v>26</v>
      </c>
      <c r="P3" s="98">
        <v>26</v>
      </c>
      <c r="Q3" s="98">
        <v>26</v>
      </c>
      <c r="R3" s="98">
        <v>26</v>
      </c>
      <c r="S3" s="98">
        <v>26</v>
      </c>
      <c r="T3" s="98">
        <v>26</v>
      </c>
      <c r="U3" s="98">
        <v>26</v>
      </c>
      <c r="V3" s="98">
        <v>26</v>
      </c>
      <c r="W3" s="98">
        <v>26</v>
      </c>
      <c r="X3" s="98">
        <v>26</v>
      </c>
      <c r="Y3" s="98">
        <v>26</v>
      </c>
      <c r="Z3" s="98">
        <v>26</v>
      </c>
      <c r="AA3" s="98">
        <v>26</v>
      </c>
      <c r="AB3" s="98">
        <v>26</v>
      </c>
      <c r="AC3" s="98">
        <v>26</v>
      </c>
      <c r="AD3" s="98">
        <v>26</v>
      </c>
      <c r="AE3" s="98">
        <v>26</v>
      </c>
      <c r="AF3" s="98">
        <v>26</v>
      </c>
      <c r="AG3" s="98">
        <v>26</v>
      </c>
      <c r="AH3" s="98">
        <v>26</v>
      </c>
      <c r="AI3" s="98">
        <v>26</v>
      </c>
      <c r="AJ3" s="98">
        <v>26</v>
      </c>
      <c r="AK3" s="98">
        <v>26</v>
      </c>
      <c r="AL3" s="98">
        <v>26</v>
      </c>
      <c r="AM3" s="98">
        <v>26</v>
      </c>
      <c r="AN3" s="98">
        <v>26</v>
      </c>
      <c r="AO3" s="98">
        <v>26</v>
      </c>
      <c r="AP3" s="98">
        <v>26</v>
      </c>
      <c r="AQ3" s="98">
        <v>26</v>
      </c>
      <c r="AR3" s="98">
        <v>26</v>
      </c>
      <c r="AS3" s="98">
        <v>26</v>
      </c>
      <c r="AT3" s="98">
        <v>26</v>
      </c>
      <c r="AU3" s="98">
        <v>26</v>
      </c>
      <c r="AV3" s="98">
        <v>26</v>
      </c>
      <c r="AW3" s="98">
        <v>26</v>
      </c>
      <c r="AX3" s="98">
        <v>26</v>
      </c>
      <c r="AY3" s="98">
        <v>26</v>
      </c>
      <c r="AZ3" s="98">
        <v>26</v>
      </c>
      <c r="BA3" s="98">
        <v>26</v>
      </c>
      <c r="BB3" s="98">
        <v>26</v>
      </c>
      <c r="BC3" s="98">
        <v>26</v>
      </c>
      <c r="BD3" s="98">
        <v>26</v>
      </c>
      <c r="BE3" s="98">
        <v>26</v>
      </c>
      <c r="BF3" s="98">
        <v>26</v>
      </c>
    </row>
    <row r="4" spans="1:59" s="97" customFormat="1" x14ac:dyDescent="0.25">
      <c r="A4" s="238" t="s">
        <v>151</v>
      </c>
      <c r="B4" s="239"/>
      <c r="C4" s="98">
        <v>5500000</v>
      </c>
      <c r="D4" s="98">
        <v>5500000</v>
      </c>
      <c r="E4" s="98">
        <v>5500000</v>
      </c>
      <c r="F4" s="98">
        <v>5500000</v>
      </c>
      <c r="G4" s="98">
        <v>4450000</v>
      </c>
      <c r="H4" s="98">
        <v>4450000</v>
      </c>
      <c r="I4" s="98">
        <v>4450000</v>
      </c>
      <c r="J4" s="98">
        <v>4450000</v>
      </c>
      <c r="K4" s="98">
        <v>4450000</v>
      </c>
      <c r="L4" s="98">
        <v>4450000</v>
      </c>
      <c r="M4" s="98">
        <v>4450000</v>
      </c>
      <c r="N4" s="98">
        <v>4450000</v>
      </c>
      <c r="O4" s="98">
        <v>4450000</v>
      </c>
      <c r="P4" s="98">
        <v>4450000</v>
      </c>
      <c r="Q4" s="98">
        <v>4450000</v>
      </c>
      <c r="R4" s="98">
        <v>4450000</v>
      </c>
      <c r="S4" s="98">
        <v>4450000</v>
      </c>
      <c r="T4" s="98">
        <v>4450000</v>
      </c>
      <c r="U4" s="98">
        <v>4450000</v>
      </c>
      <c r="V4" s="98">
        <v>4450000</v>
      </c>
      <c r="W4" s="98">
        <v>4450000</v>
      </c>
      <c r="X4" s="98">
        <v>4450000</v>
      </c>
      <c r="Y4" s="98">
        <v>10000000</v>
      </c>
      <c r="Z4" s="98">
        <v>4450000</v>
      </c>
      <c r="AA4" s="98">
        <v>4450000</v>
      </c>
      <c r="AB4" s="98">
        <v>4450000</v>
      </c>
      <c r="AC4" s="98">
        <v>4450000</v>
      </c>
      <c r="AD4" s="98">
        <v>4450000</v>
      </c>
      <c r="AE4" s="98">
        <v>4450000</v>
      </c>
      <c r="AF4" s="98">
        <v>4150000</v>
      </c>
      <c r="AG4" s="98">
        <v>4150000</v>
      </c>
      <c r="AH4" s="98">
        <v>4150000</v>
      </c>
      <c r="AI4" s="98">
        <v>4450000</v>
      </c>
      <c r="AJ4" s="98">
        <v>4450000</v>
      </c>
      <c r="AK4" s="98">
        <v>4450000</v>
      </c>
      <c r="AL4" s="98">
        <v>4450000</v>
      </c>
      <c r="AM4" s="98">
        <v>4450000</v>
      </c>
      <c r="AN4" s="98">
        <v>4450000</v>
      </c>
      <c r="AO4" s="98">
        <v>4450000</v>
      </c>
      <c r="AP4" s="98">
        <v>4855000</v>
      </c>
      <c r="AQ4" s="98">
        <v>4450000</v>
      </c>
      <c r="AR4" s="98">
        <v>4150000</v>
      </c>
      <c r="AS4" s="98">
        <v>4450000</v>
      </c>
      <c r="AT4" s="98">
        <v>4450000</v>
      </c>
      <c r="AU4" s="98">
        <v>5000000</v>
      </c>
      <c r="AV4" s="98">
        <v>4450000</v>
      </c>
      <c r="AW4" s="98">
        <v>4450000</v>
      </c>
      <c r="AX4" s="98">
        <v>4450000</v>
      </c>
      <c r="AY4" s="98">
        <v>4450000</v>
      </c>
      <c r="AZ4" s="98">
        <v>4450000</v>
      </c>
      <c r="BA4" s="98">
        <v>4450000</v>
      </c>
      <c r="BB4" s="98">
        <v>4450000</v>
      </c>
      <c r="BC4" s="98">
        <v>4450000</v>
      </c>
      <c r="BD4" s="98">
        <v>6200000</v>
      </c>
      <c r="BE4" s="98">
        <v>4800000</v>
      </c>
      <c r="BF4" s="98">
        <v>6800000</v>
      </c>
      <c r="BG4" s="98"/>
    </row>
    <row r="5" spans="1:59" s="97" customFormat="1" x14ac:dyDescent="0.25">
      <c r="A5" s="248" t="s">
        <v>152</v>
      </c>
      <c r="B5" s="97" t="s">
        <v>161</v>
      </c>
      <c r="C5" s="98">
        <v>500000</v>
      </c>
      <c r="D5" s="98">
        <v>500000</v>
      </c>
      <c r="E5" s="98">
        <v>500000</v>
      </c>
      <c r="F5" s="98">
        <v>500000</v>
      </c>
      <c r="G5" s="98"/>
      <c r="H5" s="98"/>
      <c r="I5" s="98">
        <v>500000</v>
      </c>
      <c r="J5" s="98">
        <v>500000</v>
      </c>
      <c r="K5" s="98">
        <v>500000</v>
      </c>
      <c r="L5" s="98">
        <v>500000</v>
      </c>
      <c r="M5" s="98">
        <v>500000</v>
      </c>
      <c r="N5" s="98">
        <v>500000</v>
      </c>
      <c r="O5" s="98">
        <v>500000</v>
      </c>
      <c r="P5" s="98">
        <v>500000</v>
      </c>
      <c r="Q5" s="98">
        <v>500000</v>
      </c>
      <c r="R5" s="98">
        <v>500000</v>
      </c>
      <c r="S5" s="98"/>
      <c r="T5" s="98"/>
      <c r="U5" s="98"/>
      <c r="V5" s="98">
        <v>500000</v>
      </c>
      <c r="W5" s="98">
        <v>500000</v>
      </c>
      <c r="X5" s="98">
        <v>500000</v>
      </c>
      <c r="Y5" s="98"/>
      <c r="Z5" s="98">
        <v>500000</v>
      </c>
      <c r="AA5" s="98">
        <v>500000</v>
      </c>
      <c r="AB5" s="98"/>
      <c r="AC5" s="98"/>
      <c r="AD5" s="98">
        <v>500000</v>
      </c>
      <c r="AE5" s="98">
        <v>500000</v>
      </c>
      <c r="AF5" s="98">
        <v>500000</v>
      </c>
      <c r="AG5" s="98">
        <v>500000</v>
      </c>
      <c r="AH5" s="98">
        <v>500000</v>
      </c>
      <c r="AI5" s="98">
        <v>500000</v>
      </c>
      <c r="AJ5" s="98">
        <v>500000</v>
      </c>
      <c r="AK5" s="98">
        <v>500000</v>
      </c>
      <c r="AL5" s="98">
        <v>500000</v>
      </c>
      <c r="AM5" s="98">
        <v>500000</v>
      </c>
      <c r="AN5" s="98">
        <v>500000</v>
      </c>
      <c r="AO5" s="98"/>
      <c r="AP5" s="98"/>
      <c r="AQ5" s="98">
        <v>500000</v>
      </c>
      <c r="AR5" s="98">
        <v>500000</v>
      </c>
      <c r="AS5" s="98">
        <v>500000</v>
      </c>
      <c r="AT5" s="98">
        <v>500000</v>
      </c>
      <c r="AU5" s="98">
        <v>500000</v>
      </c>
      <c r="AV5" s="98">
        <v>500000</v>
      </c>
      <c r="AW5" s="98">
        <v>500000</v>
      </c>
      <c r="AX5" s="98">
        <v>500000</v>
      </c>
      <c r="AY5" s="98">
        <v>500000</v>
      </c>
      <c r="AZ5" s="98">
        <v>500000</v>
      </c>
      <c r="BA5" s="98">
        <v>500000</v>
      </c>
      <c r="BB5" s="98">
        <v>500000</v>
      </c>
      <c r="BC5" s="98">
        <v>500000</v>
      </c>
      <c r="BD5" s="98">
        <v>500000</v>
      </c>
      <c r="BE5" s="98">
        <v>500000</v>
      </c>
      <c r="BF5" s="98"/>
      <c r="BG5" s="98"/>
    </row>
    <row r="6" spans="1:59" s="97" customFormat="1" x14ac:dyDescent="0.25">
      <c r="A6" s="249"/>
      <c r="B6" s="97" t="s">
        <v>162</v>
      </c>
      <c r="C6" s="98"/>
      <c r="D6" s="98"/>
      <c r="E6" s="98"/>
      <c r="F6" s="98">
        <v>200000</v>
      </c>
      <c r="G6" s="98"/>
      <c r="H6" s="98"/>
      <c r="I6" s="98">
        <v>250000</v>
      </c>
      <c r="J6" s="98">
        <v>250000</v>
      </c>
      <c r="K6" s="98">
        <v>250000</v>
      </c>
      <c r="L6" s="98">
        <v>250000</v>
      </c>
      <c r="M6" s="98">
        <v>250000</v>
      </c>
      <c r="N6" s="98">
        <v>250000</v>
      </c>
      <c r="O6" s="98">
        <v>250000</v>
      </c>
      <c r="P6" s="98">
        <v>250000</v>
      </c>
      <c r="Q6" s="98">
        <v>250000</v>
      </c>
      <c r="R6" s="98">
        <v>250000</v>
      </c>
      <c r="S6" s="98"/>
      <c r="T6" s="98"/>
      <c r="U6" s="98"/>
      <c r="V6" s="98">
        <v>250000</v>
      </c>
      <c r="W6" s="98">
        <v>250000</v>
      </c>
      <c r="X6" s="98">
        <v>250000</v>
      </c>
      <c r="Y6" s="98">
        <v>500000</v>
      </c>
      <c r="Z6" s="98">
        <v>250000</v>
      </c>
      <c r="AA6" s="98">
        <v>250000</v>
      </c>
      <c r="AB6" s="98"/>
      <c r="AC6" s="98"/>
      <c r="AD6" s="98">
        <v>250000</v>
      </c>
      <c r="AE6" s="98">
        <v>250000</v>
      </c>
      <c r="AF6" s="98">
        <v>250000</v>
      </c>
      <c r="AG6" s="98">
        <v>250000</v>
      </c>
      <c r="AH6" s="98">
        <v>250000</v>
      </c>
      <c r="AI6" s="98">
        <v>250000</v>
      </c>
      <c r="AJ6" s="98">
        <v>250000</v>
      </c>
      <c r="AK6" s="98">
        <v>250000</v>
      </c>
      <c r="AL6" s="98">
        <v>250000</v>
      </c>
      <c r="AM6" s="98">
        <v>250000</v>
      </c>
      <c r="AN6" s="98">
        <v>250000</v>
      </c>
      <c r="AO6" s="98">
        <v>250000</v>
      </c>
      <c r="AP6" s="98">
        <v>250000</v>
      </c>
      <c r="AQ6" s="98">
        <v>250000</v>
      </c>
      <c r="AR6" s="98">
        <v>250000</v>
      </c>
      <c r="AS6" s="98">
        <v>250000</v>
      </c>
      <c r="AT6" s="98">
        <v>250000</v>
      </c>
      <c r="AU6" s="98">
        <v>250000</v>
      </c>
      <c r="AV6" s="98">
        <v>250000</v>
      </c>
      <c r="AW6" s="98">
        <v>250000</v>
      </c>
      <c r="AX6" s="98">
        <v>250000</v>
      </c>
      <c r="AY6" s="98">
        <v>250000</v>
      </c>
      <c r="AZ6" s="98">
        <v>250000</v>
      </c>
      <c r="BA6" s="98">
        <v>250000</v>
      </c>
      <c r="BB6" s="98">
        <v>250000</v>
      </c>
      <c r="BC6" s="98">
        <v>300000</v>
      </c>
      <c r="BD6" s="98">
        <v>500000</v>
      </c>
      <c r="BE6" s="98">
        <v>500000</v>
      </c>
      <c r="BF6" s="98"/>
      <c r="BG6" s="98"/>
    </row>
    <row r="7" spans="1:59" s="97" customFormat="1" x14ac:dyDescent="0.25">
      <c r="A7" s="249"/>
      <c r="B7" s="97" t="s">
        <v>241</v>
      </c>
      <c r="C7" s="98">
        <v>500000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>
        <v>500000</v>
      </c>
      <c r="O7" s="98"/>
      <c r="P7" s="98"/>
      <c r="Q7" s="98"/>
      <c r="R7" s="98">
        <v>500000</v>
      </c>
      <c r="S7" s="98"/>
      <c r="T7" s="98"/>
      <c r="U7" s="98"/>
      <c r="V7" s="98"/>
      <c r="W7" s="98"/>
      <c r="X7" s="98"/>
      <c r="Y7" s="98"/>
      <c r="Z7" s="98">
        <v>500000</v>
      </c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>
        <v>1000000</v>
      </c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>
        <v>450000</v>
      </c>
      <c r="BD7" s="98"/>
      <c r="BE7" s="98"/>
      <c r="BF7" s="98"/>
      <c r="BG7" s="98"/>
    </row>
    <row r="8" spans="1:59" s="97" customFormat="1" x14ac:dyDescent="0.25">
      <c r="A8" s="249"/>
      <c r="B8" s="97" t="s">
        <v>231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>
        <v>500000</v>
      </c>
      <c r="AP8" s="98">
        <v>500000</v>
      </c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</row>
    <row r="9" spans="1:59" s="97" customFormat="1" x14ac:dyDescent="0.25">
      <c r="A9" s="249"/>
      <c r="B9" s="97" t="s">
        <v>163</v>
      </c>
      <c r="C9" s="98"/>
      <c r="D9" s="98"/>
      <c r="E9" s="98"/>
      <c r="F9" s="98"/>
      <c r="G9" s="98"/>
      <c r="H9" s="98"/>
      <c r="I9" s="98"/>
      <c r="J9" s="98"/>
      <c r="K9" s="98"/>
      <c r="L9" s="98">
        <v>300000</v>
      </c>
      <c r="M9" s="98"/>
      <c r="N9" s="98"/>
      <c r="O9" s="98"/>
      <c r="P9" s="98">
        <v>300000</v>
      </c>
      <c r="Q9" s="98"/>
      <c r="R9" s="98"/>
      <c r="S9" s="98"/>
      <c r="T9" s="98"/>
      <c r="U9" s="98"/>
      <c r="V9" s="98"/>
      <c r="W9" s="98"/>
      <c r="X9" s="98"/>
      <c r="Y9" s="98">
        <v>500000</v>
      </c>
      <c r="Z9" s="98"/>
      <c r="AA9" s="98"/>
      <c r="AB9" s="98"/>
      <c r="AC9" s="98"/>
      <c r="AD9" s="98"/>
      <c r="AE9" s="98"/>
      <c r="AF9" s="98">
        <v>500000</v>
      </c>
      <c r="AG9" s="98"/>
      <c r="AH9" s="98"/>
      <c r="AI9" s="98"/>
      <c r="AJ9" s="98"/>
      <c r="AK9" s="98"/>
      <c r="AL9" s="98"/>
      <c r="AM9" s="98"/>
      <c r="AN9" s="98"/>
      <c r="AO9" s="98">
        <v>500000</v>
      </c>
      <c r="AP9" s="98">
        <v>500000</v>
      </c>
      <c r="AQ9" s="98"/>
      <c r="AR9" s="98"/>
      <c r="AS9" s="98"/>
      <c r="AT9" s="98"/>
      <c r="AU9" s="98">
        <v>450000</v>
      </c>
      <c r="AV9" s="98"/>
      <c r="AW9" s="98"/>
      <c r="AX9" s="98"/>
      <c r="AY9" s="98"/>
      <c r="AZ9" s="98"/>
      <c r="BA9" s="98"/>
      <c r="BB9" s="98"/>
      <c r="BC9" s="98"/>
      <c r="BD9" s="98">
        <v>1000000</v>
      </c>
      <c r="BE9" s="98">
        <v>500000</v>
      </c>
      <c r="BF9" s="98"/>
      <c r="BG9" s="98"/>
    </row>
    <row r="10" spans="1:59" s="97" customFormat="1" x14ac:dyDescent="0.25">
      <c r="A10" s="250"/>
      <c r="B10" s="97" t="s">
        <v>164</v>
      </c>
      <c r="C10" s="98"/>
      <c r="D10" s="98"/>
      <c r="E10" s="98"/>
      <c r="F10" s="98"/>
      <c r="G10" s="98"/>
      <c r="H10" s="98"/>
      <c r="I10" s="98">
        <v>300000</v>
      </c>
      <c r="J10" s="98">
        <v>300000</v>
      </c>
      <c r="K10" s="98">
        <v>300000</v>
      </c>
      <c r="L10" s="98">
        <v>300000</v>
      </c>
      <c r="M10" s="98">
        <v>300000</v>
      </c>
      <c r="N10" s="98">
        <v>300000</v>
      </c>
      <c r="O10" s="98">
        <v>300000</v>
      </c>
      <c r="P10" s="98">
        <v>300000</v>
      </c>
      <c r="Q10" s="98">
        <v>300000</v>
      </c>
      <c r="R10" s="98">
        <v>300000</v>
      </c>
      <c r="S10" s="98"/>
      <c r="T10" s="98"/>
      <c r="U10" s="98"/>
      <c r="V10" s="98">
        <v>300000</v>
      </c>
      <c r="W10" s="98">
        <v>300000</v>
      </c>
      <c r="X10" s="98">
        <v>300000</v>
      </c>
      <c r="Y10" s="98"/>
      <c r="Z10" s="98">
        <v>300000</v>
      </c>
      <c r="AA10" s="98">
        <v>300000</v>
      </c>
      <c r="AB10" s="98"/>
      <c r="AC10" s="98"/>
      <c r="AD10" s="98">
        <v>300000</v>
      </c>
      <c r="AE10" s="98">
        <v>300000</v>
      </c>
      <c r="AF10" s="98">
        <v>300000</v>
      </c>
      <c r="AG10" s="98">
        <v>300000</v>
      </c>
      <c r="AH10" s="98">
        <v>300000</v>
      </c>
      <c r="AI10" s="98">
        <v>300000</v>
      </c>
      <c r="AJ10" s="98">
        <v>300000</v>
      </c>
      <c r="AK10" s="98">
        <v>300000</v>
      </c>
      <c r="AL10" s="98">
        <v>300000</v>
      </c>
      <c r="AM10" s="98">
        <v>300000</v>
      </c>
      <c r="AN10" s="98">
        <v>300000</v>
      </c>
      <c r="AO10" s="98">
        <v>300000</v>
      </c>
      <c r="AP10" s="98">
        <v>300000</v>
      </c>
      <c r="AQ10" s="98">
        <v>300000</v>
      </c>
      <c r="AR10" s="98">
        <v>300000</v>
      </c>
      <c r="AS10" s="98">
        <v>300000</v>
      </c>
      <c r="AT10" s="98">
        <v>300000</v>
      </c>
      <c r="AU10" s="98">
        <v>300000</v>
      </c>
      <c r="AV10" s="98">
        <v>300000</v>
      </c>
      <c r="AW10" s="98">
        <v>300000</v>
      </c>
      <c r="AX10" s="98">
        <v>300000</v>
      </c>
      <c r="AY10" s="98">
        <v>300000</v>
      </c>
      <c r="AZ10" s="98">
        <v>300000</v>
      </c>
      <c r="BA10" s="98">
        <v>300000</v>
      </c>
      <c r="BB10" s="98">
        <v>300000</v>
      </c>
      <c r="BC10" s="98">
        <v>300000</v>
      </c>
      <c r="BD10" s="98">
        <v>500000</v>
      </c>
      <c r="BE10" s="98">
        <v>500000</v>
      </c>
      <c r="BF10" s="98"/>
      <c r="BG10" s="98"/>
    </row>
    <row r="11" spans="1:59" s="97" customFormat="1" ht="15.75" customHeight="1" x14ac:dyDescent="0.25">
      <c r="A11" s="238" t="s">
        <v>240</v>
      </c>
      <c r="B11" s="239"/>
      <c r="C11" s="98"/>
      <c r="D11" s="98"/>
      <c r="E11" s="98"/>
      <c r="F11" s="98"/>
      <c r="G11" s="98"/>
      <c r="H11" s="98"/>
      <c r="I11" s="98">
        <v>500000</v>
      </c>
      <c r="J11" s="98">
        <v>500000</v>
      </c>
      <c r="K11" s="98">
        <v>500000</v>
      </c>
      <c r="L11" s="98">
        <v>500000</v>
      </c>
      <c r="M11" s="98">
        <v>500000</v>
      </c>
      <c r="N11" s="98">
        <v>500000</v>
      </c>
      <c r="O11" s="98">
        <v>500000</v>
      </c>
      <c r="P11" s="98">
        <v>500000</v>
      </c>
      <c r="Q11" s="98">
        <v>500000</v>
      </c>
      <c r="R11" s="98">
        <v>500000</v>
      </c>
      <c r="S11" s="98"/>
      <c r="T11" s="98"/>
      <c r="U11" s="98"/>
      <c r="V11" s="98">
        <v>500000</v>
      </c>
      <c r="W11" s="98">
        <v>500000</v>
      </c>
      <c r="X11" s="98">
        <v>500000</v>
      </c>
      <c r="Y11" s="98"/>
      <c r="Z11" s="98">
        <v>500000</v>
      </c>
      <c r="AA11" s="98">
        <v>500000</v>
      </c>
      <c r="AB11" s="98"/>
      <c r="AC11" s="98"/>
      <c r="AD11" s="98">
        <v>500000</v>
      </c>
      <c r="AE11" s="98">
        <v>500000</v>
      </c>
      <c r="AF11" s="98">
        <v>300000</v>
      </c>
      <c r="AG11" s="98">
        <v>300000</v>
      </c>
      <c r="AH11" s="98">
        <v>300000</v>
      </c>
      <c r="AI11" s="98">
        <v>500000</v>
      </c>
      <c r="AJ11" s="98">
        <v>500000</v>
      </c>
      <c r="AK11" s="98">
        <v>500000</v>
      </c>
      <c r="AL11" s="98">
        <v>500000</v>
      </c>
      <c r="AM11" s="98">
        <v>500000</v>
      </c>
      <c r="AN11" s="98">
        <v>1220000</v>
      </c>
      <c r="AO11" s="98">
        <v>1500000</v>
      </c>
      <c r="AP11" s="98">
        <v>2595000</v>
      </c>
      <c r="AQ11" s="98">
        <v>500000</v>
      </c>
      <c r="AR11" s="98">
        <v>300000</v>
      </c>
      <c r="AS11" s="98">
        <v>500000</v>
      </c>
      <c r="AT11" s="98">
        <v>500000</v>
      </c>
      <c r="AU11" s="98">
        <v>500000</v>
      </c>
      <c r="AV11" s="98">
        <v>500000</v>
      </c>
      <c r="AW11" s="98">
        <v>500000</v>
      </c>
      <c r="AX11" s="98">
        <v>500000</v>
      </c>
      <c r="AY11" s="98">
        <v>500000</v>
      </c>
      <c r="AZ11" s="98">
        <v>500000</v>
      </c>
      <c r="BA11" s="98">
        <v>500000</v>
      </c>
      <c r="BB11" s="98">
        <v>500000</v>
      </c>
      <c r="BC11" s="98">
        <v>2000000</v>
      </c>
      <c r="BD11" s="98">
        <v>2350000</v>
      </c>
      <c r="BE11" s="98">
        <v>3400000</v>
      </c>
      <c r="BF11" s="98"/>
      <c r="BG11" s="98"/>
    </row>
    <row r="12" spans="1:59" s="101" customFormat="1" ht="14.25" x14ac:dyDescent="0.2">
      <c r="A12" s="246" t="s">
        <v>194</v>
      </c>
      <c r="B12" s="247"/>
      <c r="C12" s="102">
        <v>6500000</v>
      </c>
      <c r="D12" s="102">
        <v>6000000</v>
      </c>
      <c r="E12" s="102">
        <v>6000000</v>
      </c>
      <c r="F12" s="102">
        <v>6200000</v>
      </c>
      <c r="G12" s="102">
        <v>4450000</v>
      </c>
      <c r="H12" s="102">
        <v>4450000</v>
      </c>
      <c r="I12" s="102">
        <v>6000000</v>
      </c>
      <c r="J12" s="102">
        <v>6000000</v>
      </c>
      <c r="K12" s="102">
        <v>6000000</v>
      </c>
      <c r="L12" s="102">
        <v>6300000</v>
      </c>
      <c r="M12" s="102">
        <v>6000000</v>
      </c>
      <c r="N12" s="102">
        <v>6500000</v>
      </c>
      <c r="O12" s="102">
        <v>6000000</v>
      </c>
      <c r="P12" s="102">
        <v>6300000</v>
      </c>
      <c r="Q12" s="102">
        <v>6000000</v>
      </c>
      <c r="R12" s="102">
        <v>6500000</v>
      </c>
      <c r="S12" s="102">
        <v>4450000</v>
      </c>
      <c r="T12" s="102">
        <v>4450000</v>
      </c>
      <c r="U12" s="102">
        <v>4450000</v>
      </c>
      <c r="V12" s="102">
        <v>6000000</v>
      </c>
      <c r="W12" s="102">
        <v>6000000</v>
      </c>
      <c r="X12" s="102">
        <v>6000000</v>
      </c>
      <c r="Y12" s="102">
        <v>11000000</v>
      </c>
      <c r="Z12" s="102">
        <v>6500000</v>
      </c>
      <c r="AA12" s="102">
        <v>6000000</v>
      </c>
      <c r="AB12" s="102">
        <v>4450000</v>
      </c>
      <c r="AC12" s="102">
        <v>4450000</v>
      </c>
      <c r="AD12" s="102">
        <v>6000000</v>
      </c>
      <c r="AE12" s="102">
        <v>6000000</v>
      </c>
      <c r="AF12" s="102">
        <v>6000000</v>
      </c>
      <c r="AG12" s="102">
        <v>5500000</v>
      </c>
      <c r="AH12" s="102">
        <v>5500000</v>
      </c>
      <c r="AI12" s="102">
        <v>6000000</v>
      </c>
      <c r="AJ12" s="102">
        <v>6000000</v>
      </c>
      <c r="AK12" s="102">
        <v>6000000</v>
      </c>
      <c r="AL12" s="102">
        <v>6000000</v>
      </c>
      <c r="AM12" s="102">
        <v>6000000</v>
      </c>
      <c r="AN12" s="102">
        <v>6720000</v>
      </c>
      <c r="AO12" s="102">
        <v>7500000</v>
      </c>
      <c r="AP12" s="102">
        <v>10000000</v>
      </c>
      <c r="AQ12" s="102">
        <v>6000000</v>
      </c>
      <c r="AR12" s="102">
        <v>5500000</v>
      </c>
      <c r="AS12" s="102">
        <v>6000000</v>
      </c>
      <c r="AT12" s="102">
        <v>6000000</v>
      </c>
      <c r="AU12" s="102">
        <v>7000000</v>
      </c>
      <c r="AV12" s="102">
        <v>6000000</v>
      </c>
      <c r="AW12" s="102">
        <v>6000000</v>
      </c>
      <c r="AX12" s="102">
        <v>6000000</v>
      </c>
      <c r="AY12" s="102">
        <v>6000000</v>
      </c>
      <c r="AZ12" s="102">
        <v>6000000</v>
      </c>
      <c r="BA12" s="102">
        <v>6000000</v>
      </c>
      <c r="BB12" s="102">
        <v>6000000</v>
      </c>
      <c r="BC12" s="102">
        <v>8000000</v>
      </c>
      <c r="BD12" s="102">
        <v>11050000</v>
      </c>
      <c r="BE12" s="102">
        <v>10200000</v>
      </c>
      <c r="BF12" s="102">
        <v>6800000</v>
      </c>
      <c r="BG12" s="102"/>
    </row>
    <row r="13" spans="1:59" s="103" customFormat="1" x14ac:dyDescent="0.25">
      <c r="A13" s="251" t="s">
        <v>153</v>
      </c>
      <c r="B13" s="103" t="s">
        <v>5</v>
      </c>
      <c r="C13" s="103">
        <v>32</v>
      </c>
      <c r="D13" s="103">
        <v>32</v>
      </c>
      <c r="E13" s="103">
        <v>32</v>
      </c>
      <c r="F13" s="103">
        <v>15</v>
      </c>
      <c r="G13" s="103">
        <v>3</v>
      </c>
      <c r="H13" s="103">
        <v>3</v>
      </c>
      <c r="I13" s="103">
        <v>18</v>
      </c>
      <c r="J13" s="103">
        <v>18.5</v>
      </c>
      <c r="K13" s="103">
        <v>19.5</v>
      </c>
      <c r="L13" s="103">
        <v>20</v>
      </c>
      <c r="M13" s="103">
        <v>20</v>
      </c>
      <c r="N13" s="103">
        <v>19</v>
      </c>
      <c r="O13" s="103">
        <v>18</v>
      </c>
      <c r="P13" s="103">
        <v>20</v>
      </c>
      <c r="Q13" s="103">
        <v>18.5</v>
      </c>
      <c r="R13" s="103">
        <v>10.5</v>
      </c>
      <c r="S13" s="103">
        <v>1.5</v>
      </c>
      <c r="T13" s="103">
        <v>3</v>
      </c>
      <c r="U13" s="103">
        <v>3.5</v>
      </c>
      <c r="V13" s="103">
        <v>13</v>
      </c>
      <c r="W13" s="103">
        <v>13</v>
      </c>
      <c r="X13" s="103">
        <v>13</v>
      </c>
      <c r="Y13" s="103">
        <v>26</v>
      </c>
      <c r="Z13" s="103">
        <v>11</v>
      </c>
      <c r="AA13" s="103">
        <v>11</v>
      </c>
      <c r="AB13" s="103">
        <v>5</v>
      </c>
      <c r="AC13" s="103">
        <v>5</v>
      </c>
      <c r="AD13" s="103">
        <v>10</v>
      </c>
      <c r="AE13" s="103">
        <v>12</v>
      </c>
      <c r="AF13" s="103">
        <v>20</v>
      </c>
      <c r="AG13" s="103">
        <v>11.5</v>
      </c>
      <c r="AH13" s="103">
        <v>4</v>
      </c>
      <c r="AI13" s="103">
        <v>9</v>
      </c>
      <c r="AJ13" s="103">
        <v>8</v>
      </c>
      <c r="AK13" s="103">
        <v>7</v>
      </c>
      <c r="AL13" s="103">
        <v>7</v>
      </c>
      <c r="AM13" s="103">
        <v>7</v>
      </c>
      <c r="AN13" s="103">
        <v>7</v>
      </c>
      <c r="AO13" s="103">
        <v>7</v>
      </c>
      <c r="AP13" s="103">
        <v>7</v>
      </c>
      <c r="AQ13" s="103">
        <v>7</v>
      </c>
      <c r="AR13" s="103">
        <v>5</v>
      </c>
      <c r="AS13" s="103">
        <v>6</v>
      </c>
      <c r="AT13" s="103">
        <v>4</v>
      </c>
      <c r="AU13" s="103">
        <v>9</v>
      </c>
      <c r="AV13" s="103">
        <v>3</v>
      </c>
      <c r="AW13" s="103">
        <v>4</v>
      </c>
      <c r="AX13" s="103">
        <v>4</v>
      </c>
      <c r="AY13" s="103">
        <v>3</v>
      </c>
      <c r="AZ13" s="103">
        <v>3</v>
      </c>
      <c r="BA13" s="103">
        <v>3</v>
      </c>
      <c r="BB13" s="103">
        <v>8</v>
      </c>
      <c r="BC13" s="103">
        <v>14</v>
      </c>
      <c r="BD13" s="103">
        <v>16</v>
      </c>
      <c r="BE13" s="103">
        <v>21</v>
      </c>
      <c r="BF13" s="103">
        <v>7</v>
      </c>
      <c r="BG13" s="98"/>
    </row>
    <row r="14" spans="1:59" s="103" customFormat="1" x14ac:dyDescent="0.25">
      <c r="A14" s="252"/>
      <c r="B14" s="103" t="s">
        <v>165</v>
      </c>
      <c r="C14" s="103">
        <v>122.75</v>
      </c>
      <c r="D14" s="103">
        <v>95.1</v>
      </c>
      <c r="E14" s="103">
        <v>82.05</v>
      </c>
      <c r="F14" s="103">
        <v>67</v>
      </c>
      <c r="G14" s="103">
        <v>1.5</v>
      </c>
      <c r="H14" s="103">
        <v>1.5</v>
      </c>
      <c r="I14" s="103">
        <v>24.25</v>
      </c>
      <c r="J14" s="103">
        <v>117</v>
      </c>
      <c r="K14" s="103">
        <v>135.15</v>
      </c>
      <c r="L14" s="103">
        <v>155.69999999999999</v>
      </c>
      <c r="M14" s="103">
        <v>106.85</v>
      </c>
      <c r="N14" s="103">
        <v>133.25</v>
      </c>
      <c r="O14" s="103">
        <v>112.85</v>
      </c>
      <c r="P14" s="103">
        <v>123</v>
      </c>
      <c r="Q14" s="103">
        <v>22.5</v>
      </c>
      <c r="R14" s="103">
        <v>99.05</v>
      </c>
      <c r="S14" s="103">
        <v>0</v>
      </c>
      <c r="T14" s="103">
        <v>3</v>
      </c>
      <c r="U14" s="103">
        <v>2.25</v>
      </c>
      <c r="V14" s="103">
        <v>79.25</v>
      </c>
      <c r="W14" s="103">
        <v>79.25</v>
      </c>
      <c r="X14" s="103">
        <v>36.25</v>
      </c>
      <c r="Z14" s="103">
        <v>74.150000000000006</v>
      </c>
      <c r="AA14" s="103">
        <v>72.349999999999994</v>
      </c>
      <c r="AB14" s="103">
        <v>29.5</v>
      </c>
      <c r="AC14" s="103">
        <v>31.75</v>
      </c>
      <c r="AD14" s="103">
        <v>23.5</v>
      </c>
      <c r="AE14" s="103">
        <v>33.25</v>
      </c>
      <c r="AF14" s="103">
        <v>45.25</v>
      </c>
      <c r="AG14" s="103">
        <v>24</v>
      </c>
      <c r="AH14" s="103">
        <v>12.25</v>
      </c>
      <c r="AI14" s="103">
        <v>35.4</v>
      </c>
      <c r="AJ14" s="103">
        <v>51.25</v>
      </c>
      <c r="AK14" s="103">
        <v>26.4</v>
      </c>
      <c r="AL14" s="103">
        <v>30.9</v>
      </c>
      <c r="AM14" s="103">
        <v>38.5</v>
      </c>
      <c r="AN14" s="103">
        <v>38.5</v>
      </c>
      <c r="AO14" s="103">
        <v>50.95</v>
      </c>
      <c r="AP14" s="103">
        <v>58.6</v>
      </c>
      <c r="AQ14" s="103">
        <v>38.5</v>
      </c>
      <c r="AR14" s="103">
        <v>0</v>
      </c>
      <c r="AS14" s="103">
        <v>41.5</v>
      </c>
      <c r="AT14" s="103">
        <v>9.75</v>
      </c>
      <c r="AU14" s="103">
        <v>17.5</v>
      </c>
      <c r="AV14" s="103">
        <v>17.25</v>
      </c>
      <c r="AW14" s="103">
        <v>29.7</v>
      </c>
      <c r="AX14" s="103">
        <v>29.7</v>
      </c>
      <c r="AY14" s="103">
        <v>13.5</v>
      </c>
      <c r="AZ14" s="103">
        <v>14.25</v>
      </c>
      <c r="BA14" s="103">
        <v>13.5</v>
      </c>
      <c r="BB14" s="103">
        <v>10.5</v>
      </c>
      <c r="BE14" s="103">
        <v>30</v>
      </c>
      <c r="BG14" s="98"/>
    </row>
    <row r="15" spans="1:59" s="103" customFormat="1" x14ac:dyDescent="0.25">
      <c r="A15" s="253"/>
      <c r="B15" s="103" t="s">
        <v>166</v>
      </c>
      <c r="C15" s="103">
        <v>1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1</v>
      </c>
      <c r="K15" s="103">
        <v>1</v>
      </c>
      <c r="L15" s="103">
        <v>1</v>
      </c>
      <c r="M15" s="103">
        <v>1</v>
      </c>
      <c r="N15" s="103">
        <v>1</v>
      </c>
      <c r="O15" s="103">
        <v>0</v>
      </c>
      <c r="P15" s="103">
        <v>1</v>
      </c>
      <c r="Q15" s="103">
        <v>0</v>
      </c>
      <c r="R15" s="103">
        <v>1</v>
      </c>
      <c r="S15" s="103">
        <v>0</v>
      </c>
      <c r="T15" s="103">
        <v>0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103">
        <v>0</v>
      </c>
      <c r="AD15" s="103">
        <v>0</v>
      </c>
      <c r="AE15" s="103">
        <v>0</v>
      </c>
      <c r="AF15" s="103">
        <v>1</v>
      </c>
      <c r="AG15" s="103">
        <v>0</v>
      </c>
      <c r="AH15" s="103">
        <v>0</v>
      </c>
      <c r="AI15" s="103">
        <v>0</v>
      </c>
      <c r="AJ15" s="103">
        <v>0</v>
      </c>
      <c r="AK15" s="103">
        <v>0</v>
      </c>
      <c r="AL15" s="103">
        <v>0</v>
      </c>
      <c r="AM15" s="103">
        <v>0</v>
      </c>
      <c r="AN15" s="103">
        <v>0</v>
      </c>
      <c r="AO15" s="103">
        <v>0</v>
      </c>
      <c r="AP15" s="103">
        <v>0</v>
      </c>
      <c r="AQ15" s="103">
        <v>0</v>
      </c>
      <c r="AR15" s="103">
        <v>0</v>
      </c>
      <c r="AS15" s="103">
        <v>0</v>
      </c>
      <c r="AT15" s="103">
        <v>0</v>
      </c>
      <c r="AU15" s="103">
        <v>0</v>
      </c>
      <c r="AV15" s="103">
        <v>0</v>
      </c>
      <c r="AW15" s="103">
        <v>0</v>
      </c>
      <c r="AX15" s="103">
        <v>0</v>
      </c>
      <c r="AY15" s="103">
        <v>0</v>
      </c>
      <c r="AZ15" s="103">
        <v>0</v>
      </c>
      <c r="BA15" s="103">
        <v>0</v>
      </c>
      <c r="BB15" s="103">
        <v>0</v>
      </c>
      <c r="BC15" s="103">
        <v>5</v>
      </c>
      <c r="BG15" s="98"/>
    </row>
    <row r="16" spans="1:59" s="97" customFormat="1" x14ac:dyDescent="0.25">
      <c r="A16" s="248" t="s">
        <v>154</v>
      </c>
      <c r="B16" s="97" t="s">
        <v>167</v>
      </c>
      <c r="C16" s="98">
        <v>0</v>
      </c>
      <c r="D16" s="98">
        <v>0</v>
      </c>
      <c r="E16" s="98">
        <v>0</v>
      </c>
      <c r="F16" s="98">
        <v>3</v>
      </c>
      <c r="G16" s="98">
        <v>1</v>
      </c>
      <c r="H16" s="98">
        <v>1</v>
      </c>
      <c r="I16" s="98">
        <v>2</v>
      </c>
      <c r="J16" s="98">
        <v>0</v>
      </c>
      <c r="K16" s="98">
        <v>0</v>
      </c>
      <c r="L16" s="98">
        <v>0</v>
      </c>
      <c r="M16" s="98">
        <v>0</v>
      </c>
      <c r="N16" s="98">
        <v>1</v>
      </c>
      <c r="O16" s="98">
        <v>1</v>
      </c>
      <c r="P16" s="98">
        <v>0</v>
      </c>
      <c r="Q16" s="98">
        <v>0</v>
      </c>
      <c r="R16" s="98">
        <v>9</v>
      </c>
      <c r="S16" s="98">
        <v>0</v>
      </c>
      <c r="T16" s="98">
        <v>0</v>
      </c>
      <c r="U16" s="98">
        <v>0</v>
      </c>
      <c r="V16" s="98">
        <v>0</v>
      </c>
      <c r="W16" s="98">
        <v>0</v>
      </c>
      <c r="X16" s="98">
        <v>0</v>
      </c>
      <c r="Y16" s="98">
        <v>0</v>
      </c>
      <c r="Z16" s="98">
        <v>0</v>
      </c>
      <c r="AA16" s="98">
        <v>1</v>
      </c>
      <c r="AB16" s="98">
        <v>0</v>
      </c>
      <c r="AC16" s="98">
        <v>0</v>
      </c>
      <c r="AD16" s="98">
        <v>0</v>
      </c>
      <c r="AE16" s="98">
        <v>0</v>
      </c>
      <c r="AF16" s="98">
        <v>0</v>
      </c>
      <c r="AG16" s="98">
        <v>0</v>
      </c>
      <c r="AH16" s="98">
        <v>0</v>
      </c>
      <c r="AI16" s="98">
        <v>0</v>
      </c>
      <c r="AJ16" s="98">
        <v>0</v>
      </c>
      <c r="AK16" s="98">
        <v>0</v>
      </c>
      <c r="AL16" s="98">
        <v>0</v>
      </c>
      <c r="AM16" s="98">
        <v>0</v>
      </c>
      <c r="AN16" s="98">
        <v>0</v>
      </c>
      <c r="AO16" s="98">
        <v>0</v>
      </c>
      <c r="AP16" s="98">
        <v>0</v>
      </c>
      <c r="AQ16" s="98">
        <v>0</v>
      </c>
      <c r="AR16" s="98">
        <v>0</v>
      </c>
      <c r="AS16" s="98">
        <v>0</v>
      </c>
      <c r="AT16" s="98">
        <v>0</v>
      </c>
      <c r="AU16" s="98">
        <v>0</v>
      </c>
      <c r="AV16" s="98">
        <v>0</v>
      </c>
      <c r="AW16" s="98">
        <v>0</v>
      </c>
      <c r="AX16" s="98">
        <v>0</v>
      </c>
      <c r="AY16" s="98">
        <v>0</v>
      </c>
      <c r="AZ16" s="98">
        <v>0</v>
      </c>
      <c r="BA16" s="98">
        <v>0</v>
      </c>
      <c r="BB16" s="98">
        <v>0</v>
      </c>
      <c r="BC16" s="98"/>
      <c r="BD16" s="98"/>
      <c r="BE16" s="98"/>
      <c r="BF16" s="98"/>
      <c r="BG16" s="98"/>
    </row>
    <row r="17" spans="1:59" s="97" customFormat="1" x14ac:dyDescent="0.25">
      <c r="A17" s="249"/>
      <c r="B17" s="97" t="s">
        <v>168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</row>
    <row r="18" spans="1:59" s="97" customFormat="1" x14ac:dyDescent="0.25">
      <c r="A18" s="249"/>
      <c r="B18" s="97" t="s">
        <v>169</v>
      </c>
      <c r="C18" s="98">
        <v>0</v>
      </c>
      <c r="D18" s="98">
        <v>2.5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1</v>
      </c>
      <c r="T18" s="98">
        <v>0</v>
      </c>
      <c r="U18" s="98">
        <v>0</v>
      </c>
      <c r="V18" s="98">
        <v>0</v>
      </c>
      <c r="W18" s="98">
        <v>0</v>
      </c>
      <c r="X18" s="98">
        <v>0</v>
      </c>
      <c r="Y18" s="98">
        <v>0</v>
      </c>
      <c r="Z18" s="98">
        <v>0</v>
      </c>
      <c r="AA18" s="98">
        <v>0</v>
      </c>
      <c r="AB18" s="98">
        <v>0</v>
      </c>
      <c r="AC18" s="98">
        <v>0</v>
      </c>
      <c r="AD18" s="98">
        <v>0</v>
      </c>
      <c r="AE18" s="98">
        <v>0</v>
      </c>
      <c r="AF18" s="98">
        <v>2</v>
      </c>
      <c r="AG18" s="98">
        <v>2</v>
      </c>
      <c r="AH18" s="98">
        <v>0</v>
      </c>
      <c r="AI18" s="98">
        <v>0</v>
      </c>
      <c r="AJ18" s="98">
        <v>0</v>
      </c>
      <c r="AK18" s="98">
        <v>0</v>
      </c>
      <c r="AL18" s="98">
        <v>0</v>
      </c>
      <c r="AM18" s="98">
        <v>0</v>
      </c>
      <c r="AN18" s="98">
        <v>0</v>
      </c>
      <c r="AO18" s="98">
        <v>0</v>
      </c>
      <c r="AP18" s="98">
        <v>0</v>
      </c>
      <c r="AQ18" s="98">
        <v>0</v>
      </c>
      <c r="AR18" s="98">
        <v>0</v>
      </c>
      <c r="AS18" s="98">
        <v>0</v>
      </c>
      <c r="AT18" s="98">
        <v>0</v>
      </c>
      <c r="AU18" s="98">
        <v>0</v>
      </c>
      <c r="AV18" s="98">
        <v>0</v>
      </c>
      <c r="AW18" s="98">
        <v>0</v>
      </c>
      <c r="AX18" s="98">
        <v>0</v>
      </c>
      <c r="AY18" s="98">
        <v>0</v>
      </c>
      <c r="AZ18" s="98">
        <v>0</v>
      </c>
      <c r="BA18" s="98">
        <v>0</v>
      </c>
      <c r="BB18" s="98">
        <v>0</v>
      </c>
      <c r="BC18" s="98"/>
      <c r="BD18" s="98"/>
      <c r="BE18" s="98"/>
      <c r="BF18" s="98"/>
      <c r="BG18" s="98"/>
    </row>
    <row r="19" spans="1:59" s="97" customFormat="1" x14ac:dyDescent="0.25">
      <c r="A19" s="250"/>
      <c r="B19" s="97" t="s">
        <v>170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</row>
    <row r="20" spans="1:59" s="97" customFormat="1" x14ac:dyDescent="0.25">
      <c r="A20" s="248" t="s">
        <v>155</v>
      </c>
      <c r="B20" s="97" t="s">
        <v>171</v>
      </c>
      <c r="C20" s="98">
        <v>6769230.769230769</v>
      </c>
      <c r="D20" s="98">
        <v>6769230.769230769</v>
      </c>
      <c r="E20" s="98">
        <v>6769230.769230769</v>
      </c>
      <c r="F20" s="98">
        <v>3173076.923076923</v>
      </c>
      <c r="G20" s="98">
        <v>513461.5384615385</v>
      </c>
      <c r="H20" s="98">
        <v>513461.5384615385</v>
      </c>
      <c r="I20" s="98">
        <v>3080769.230769231</v>
      </c>
      <c r="J20" s="98">
        <v>3166346.153846154</v>
      </c>
      <c r="K20" s="98">
        <v>3337500</v>
      </c>
      <c r="L20" s="98">
        <v>3423076.923076923</v>
      </c>
      <c r="M20" s="98">
        <v>3423076.923076923</v>
      </c>
      <c r="N20" s="98">
        <v>3251923.076923077</v>
      </c>
      <c r="O20" s="98">
        <v>3080769.230769231</v>
      </c>
      <c r="P20" s="98">
        <v>3423076.923076923</v>
      </c>
      <c r="Q20" s="98">
        <v>3166346.153846154</v>
      </c>
      <c r="R20" s="98">
        <v>1797115.3846153847</v>
      </c>
      <c r="S20" s="98">
        <v>256730.76923076925</v>
      </c>
      <c r="T20" s="98">
        <v>513461.5384615385</v>
      </c>
      <c r="U20" s="98">
        <v>599038.4615384615</v>
      </c>
      <c r="V20" s="98">
        <v>2225000</v>
      </c>
      <c r="W20" s="98">
        <v>2225000</v>
      </c>
      <c r="X20" s="98">
        <v>2225000</v>
      </c>
      <c r="Y20" s="98">
        <v>10000000</v>
      </c>
      <c r="Z20" s="98">
        <v>1882692.3076923077</v>
      </c>
      <c r="AA20" s="98">
        <v>1882692.3076923077</v>
      </c>
      <c r="AB20" s="98">
        <v>855769.23076923075</v>
      </c>
      <c r="AC20" s="98">
        <v>855769.23076923075</v>
      </c>
      <c r="AD20" s="98">
        <v>1711538.4615384615</v>
      </c>
      <c r="AE20" s="98">
        <v>2053846.153846154</v>
      </c>
      <c r="AF20" s="98">
        <v>3192307.6923076925</v>
      </c>
      <c r="AG20" s="98">
        <v>1835576.9230769232</v>
      </c>
      <c r="AH20" s="98">
        <v>638461.5384615385</v>
      </c>
      <c r="AI20" s="98">
        <v>1540384.6153846155</v>
      </c>
      <c r="AJ20" s="98">
        <v>1369230.7692307692</v>
      </c>
      <c r="AK20" s="98">
        <v>1198076.923076923</v>
      </c>
      <c r="AL20" s="98">
        <v>1198076.923076923</v>
      </c>
      <c r="AM20" s="98">
        <v>1198076.923076923</v>
      </c>
      <c r="AN20" s="98">
        <v>1198076.923076923</v>
      </c>
      <c r="AO20" s="98">
        <v>1198076.923076923</v>
      </c>
      <c r="AP20" s="98">
        <v>1307115.3846153845</v>
      </c>
      <c r="AQ20" s="98">
        <v>1198076.923076923</v>
      </c>
      <c r="AR20" s="98">
        <v>798076.92307692312</v>
      </c>
      <c r="AS20" s="98">
        <v>1026923.076923077</v>
      </c>
      <c r="AT20" s="98">
        <v>684615.38461538462</v>
      </c>
      <c r="AU20" s="98">
        <v>1730769.2307692308</v>
      </c>
      <c r="AV20" s="98">
        <v>513461.5384615385</v>
      </c>
      <c r="AW20" s="98">
        <v>684615.38461538462</v>
      </c>
      <c r="AX20" s="98">
        <v>684615.38461538462</v>
      </c>
      <c r="AY20" s="98">
        <v>513461.5384615385</v>
      </c>
      <c r="AZ20" s="98">
        <v>513461.5384615385</v>
      </c>
      <c r="BA20" s="98">
        <v>513461.5384615385</v>
      </c>
      <c r="BB20" s="98">
        <v>1369230.7692307692</v>
      </c>
      <c r="BC20" s="98">
        <v>2396153.846153846</v>
      </c>
      <c r="BD20" s="98">
        <v>3815384.6153846155</v>
      </c>
      <c r="BE20" s="98">
        <v>3876923.076923077</v>
      </c>
      <c r="BF20" s="98">
        <v>1830769.2307692308</v>
      </c>
      <c r="BG20" s="98"/>
    </row>
    <row r="21" spans="1:59" s="97" customFormat="1" x14ac:dyDescent="0.25">
      <c r="A21" s="249"/>
      <c r="B21" s="97" t="s">
        <v>172</v>
      </c>
      <c r="C21" s="98">
        <v>3245793.269230769</v>
      </c>
      <c r="D21" s="98">
        <v>2514663.4615384615</v>
      </c>
      <c r="E21" s="98">
        <v>2169591.346153846</v>
      </c>
      <c r="F21" s="98">
        <v>1771634.6153846153</v>
      </c>
      <c r="G21" s="98">
        <v>32091.346153846156</v>
      </c>
      <c r="H21" s="98">
        <v>32091.346153846156</v>
      </c>
      <c r="I21" s="98">
        <v>518810.09615384619</v>
      </c>
      <c r="J21" s="98">
        <v>2503125</v>
      </c>
      <c r="K21" s="98">
        <v>2891430.2884615385</v>
      </c>
      <c r="L21" s="98">
        <v>3331081.7307692305</v>
      </c>
      <c r="M21" s="98">
        <v>2285973.5576923075</v>
      </c>
      <c r="N21" s="98">
        <v>2850781.25</v>
      </c>
      <c r="O21" s="98">
        <v>2414338.942307692</v>
      </c>
      <c r="P21" s="98">
        <v>2631490.3846153845</v>
      </c>
      <c r="Q21" s="98">
        <v>481370.19230769231</v>
      </c>
      <c r="R21" s="98">
        <v>2119098.5576923075</v>
      </c>
      <c r="S21" s="98">
        <v>0</v>
      </c>
      <c r="T21" s="98">
        <v>64182.692307692312</v>
      </c>
      <c r="U21" s="98">
        <v>48137.019230769234</v>
      </c>
      <c r="V21" s="98">
        <v>1695492.7884615385</v>
      </c>
      <c r="W21" s="98">
        <v>1695492.7884615385</v>
      </c>
      <c r="X21" s="98">
        <v>775540.86538461538</v>
      </c>
      <c r="Y21" s="98">
        <v>0</v>
      </c>
      <c r="Z21" s="98">
        <v>1586382.2115384617</v>
      </c>
      <c r="AA21" s="98">
        <v>1547872.596153846</v>
      </c>
      <c r="AB21" s="98">
        <v>631129.80769230775</v>
      </c>
      <c r="AC21" s="98">
        <v>679266.82692307688</v>
      </c>
      <c r="AD21" s="98">
        <v>502764.42307692306</v>
      </c>
      <c r="AE21" s="98">
        <v>711358.17307692312</v>
      </c>
      <c r="AF21" s="98">
        <v>902824.51923076925</v>
      </c>
      <c r="AG21" s="98">
        <v>478846.15384615387</v>
      </c>
      <c r="AH21" s="98">
        <v>244411.05769230772</v>
      </c>
      <c r="AI21" s="98">
        <v>757355.76923076925</v>
      </c>
      <c r="AJ21" s="98">
        <v>1096454.326923077</v>
      </c>
      <c r="AK21" s="98">
        <v>564807.69230769225</v>
      </c>
      <c r="AL21" s="98">
        <v>661081.73076923075</v>
      </c>
      <c r="AM21" s="98">
        <v>823677.88461538462</v>
      </c>
      <c r="AN21" s="98">
        <v>823677.88461538462</v>
      </c>
      <c r="AO21" s="98">
        <v>1090036.0576923077</v>
      </c>
      <c r="AP21" s="98">
        <v>1367802.8846153845</v>
      </c>
      <c r="AQ21" s="98">
        <v>823677.88461538462</v>
      </c>
      <c r="AR21" s="98">
        <v>0</v>
      </c>
      <c r="AS21" s="98">
        <v>887860.57692307688</v>
      </c>
      <c r="AT21" s="98">
        <v>208593.75</v>
      </c>
      <c r="AU21" s="98">
        <v>420673.07692307694</v>
      </c>
      <c r="AV21" s="98">
        <v>369050.48076923075</v>
      </c>
      <c r="AW21" s="98">
        <v>635408.65384615387</v>
      </c>
      <c r="AX21" s="98">
        <v>635408.65384615387</v>
      </c>
      <c r="AY21" s="98">
        <v>288822.11538461538</v>
      </c>
      <c r="AZ21" s="98">
        <v>304867.78846153844</v>
      </c>
      <c r="BA21" s="98">
        <v>288822.11538461538</v>
      </c>
      <c r="BB21" s="98">
        <v>224639.42307692309</v>
      </c>
      <c r="BC21" s="98">
        <v>0</v>
      </c>
      <c r="BD21" s="98">
        <v>0</v>
      </c>
      <c r="BE21" s="98">
        <v>692307.69230769237</v>
      </c>
      <c r="BF21" s="98">
        <v>0</v>
      </c>
      <c r="BG21" s="98"/>
    </row>
    <row r="22" spans="1:59" s="97" customFormat="1" x14ac:dyDescent="0.25">
      <c r="A22" s="250"/>
      <c r="B22" s="97" t="s">
        <v>173</v>
      </c>
      <c r="C22" s="98">
        <v>634615.38461538462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8">
        <v>0</v>
      </c>
      <c r="J22" s="98">
        <v>513461.5384615385</v>
      </c>
      <c r="K22" s="98">
        <v>513461.5384615385</v>
      </c>
      <c r="L22" s="98">
        <v>513461.5384615385</v>
      </c>
      <c r="M22" s="98">
        <v>513461.5384615385</v>
      </c>
      <c r="N22" s="98">
        <v>513461.5384615385</v>
      </c>
      <c r="O22" s="98">
        <v>0</v>
      </c>
      <c r="P22" s="98">
        <v>513461.5384615385</v>
      </c>
      <c r="Q22" s="98">
        <v>0</v>
      </c>
      <c r="R22" s="98">
        <v>513461.5384615385</v>
      </c>
      <c r="S22" s="98">
        <v>0</v>
      </c>
      <c r="T22" s="98">
        <v>0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478846.15384615387</v>
      </c>
      <c r="AG22" s="98">
        <v>0</v>
      </c>
      <c r="AH22" s="98">
        <v>0</v>
      </c>
      <c r="AI22" s="98">
        <v>0</v>
      </c>
      <c r="AJ22" s="98">
        <v>0</v>
      </c>
      <c r="AK22" s="98">
        <v>0</v>
      </c>
      <c r="AL22" s="98">
        <v>0</v>
      </c>
      <c r="AM22" s="98">
        <v>0</v>
      </c>
      <c r="AN22" s="98">
        <v>0</v>
      </c>
      <c r="AO22" s="98">
        <v>0</v>
      </c>
      <c r="AP22" s="98">
        <v>0</v>
      </c>
      <c r="AQ22" s="98">
        <v>0</v>
      </c>
      <c r="AR22" s="98">
        <v>0</v>
      </c>
      <c r="AS22" s="98">
        <v>0</v>
      </c>
      <c r="AT22" s="98">
        <v>0</v>
      </c>
      <c r="AU22" s="98">
        <v>0</v>
      </c>
      <c r="AV22" s="98">
        <v>0</v>
      </c>
      <c r="AW22" s="98">
        <v>0</v>
      </c>
      <c r="AX22" s="98">
        <v>0</v>
      </c>
      <c r="AY22" s="98">
        <v>0</v>
      </c>
      <c r="AZ22" s="98">
        <v>0</v>
      </c>
      <c r="BA22" s="98">
        <v>0</v>
      </c>
      <c r="BB22" s="98">
        <v>0</v>
      </c>
      <c r="BC22" s="98">
        <v>2567307.692307692</v>
      </c>
      <c r="BD22" s="98">
        <v>0</v>
      </c>
      <c r="BE22" s="98">
        <v>0</v>
      </c>
      <c r="BF22" s="98">
        <v>0</v>
      </c>
      <c r="BG22" s="98"/>
    </row>
    <row r="23" spans="1:59" s="107" customFormat="1" ht="21" customHeight="1" x14ac:dyDescent="0.25">
      <c r="A23" s="244" t="s">
        <v>193</v>
      </c>
      <c r="B23" s="245"/>
      <c r="C23" s="106">
        <v>10649639.423076922</v>
      </c>
      <c r="D23" s="106">
        <v>9283894.2307692301</v>
      </c>
      <c r="E23" s="106">
        <v>8938822.115384616</v>
      </c>
      <c r="F23" s="106">
        <v>4944711.538461538</v>
      </c>
      <c r="G23" s="106">
        <v>545552.88461538462</v>
      </c>
      <c r="H23" s="106">
        <v>545552.88461538462</v>
      </c>
      <c r="I23" s="106">
        <v>3599579.326923077</v>
      </c>
      <c r="J23" s="106">
        <v>6182932.692307692</v>
      </c>
      <c r="K23" s="106">
        <v>6742391.8269230761</v>
      </c>
      <c r="L23" s="106">
        <v>7267620.192307692</v>
      </c>
      <c r="M23" s="106">
        <v>6222512.0192307681</v>
      </c>
      <c r="N23" s="106">
        <v>6616165.865384616</v>
      </c>
      <c r="O23" s="106">
        <v>5495108.173076923</v>
      </c>
      <c r="P23" s="106">
        <v>6568028.846153846</v>
      </c>
      <c r="Q23" s="106">
        <v>3647716.3461538465</v>
      </c>
      <c r="R23" s="106">
        <v>4429675.4807692301</v>
      </c>
      <c r="S23" s="106">
        <v>256730.76923076925</v>
      </c>
      <c r="T23" s="106">
        <v>577644.23076923075</v>
      </c>
      <c r="U23" s="106">
        <v>647175.48076923075</v>
      </c>
      <c r="V23" s="106">
        <v>3920492.7884615385</v>
      </c>
      <c r="W23" s="106">
        <v>3920492.7884615385</v>
      </c>
      <c r="X23" s="106">
        <v>3000540.8653846155</v>
      </c>
      <c r="Y23" s="106">
        <v>10000000</v>
      </c>
      <c r="Z23" s="106">
        <v>3469074.5192307695</v>
      </c>
      <c r="AA23" s="106">
        <v>3430564.903846154</v>
      </c>
      <c r="AB23" s="106">
        <v>1486899.0384615385</v>
      </c>
      <c r="AC23" s="106">
        <v>1535036.0576923075</v>
      </c>
      <c r="AD23" s="106">
        <v>2214302.8846153845</v>
      </c>
      <c r="AE23" s="106">
        <v>2765204.326923077</v>
      </c>
      <c r="AF23" s="106">
        <v>4573978.365384616</v>
      </c>
      <c r="AG23" s="106">
        <v>2314423.076923077</v>
      </c>
      <c r="AH23" s="106">
        <v>882872.59615384624</v>
      </c>
      <c r="AI23" s="106">
        <v>2297740.384615385</v>
      </c>
      <c r="AJ23" s="106">
        <v>2465685.096153846</v>
      </c>
      <c r="AK23" s="106">
        <v>1762884.6153846153</v>
      </c>
      <c r="AL23" s="106">
        <v>1859158.6538461538</v>
      </c>
      <c r="AM23" s="106">
        <v>2021754.8076923075</v>
      </c>
      <c r="AN23" s="106">
        <v>2021754.8076923075</v>
      </c>
      <c r="AO23" s="106">
        <v>2288112.980769231</v>
      </c>
      <c r="AP23" s="106">
        <v>2674918.269230769</v>
      </c>
      <c r="AQ23" s="106">
        <v>2021754.8076923075</v>
      </c>
      <c r="AR23" s="106">
        <v>798076.92307692312</v>
      </c>
      <c r="AS23" s="106">
        <v>1914783.653846154</v>
      </c>
      <c r="AT23" s="106">
        <v>893209.13461538462</v>
      </c>
      <c r="AU23" s="106">
        <v>2151442.3076923075</v>
      </c>
      <c r="AV23" s="106">
        <v>882512.01923076925</v>
      </c>
      <c r="AW23" s="106">
        <v>1320024.0384615385</v>
      </c>
      <c r="AX23" s="106">
        <v>1320024.0384615385</v>
      </c>
      <c r="AY23" s="106">
        <v>802283.65384615387</v>
      </c>
      <c r="AZ23" s="106">
        <v>818329.32692307699</v>
      </c>
      <c r="BA23" s="106">
        <v>802283.65384615387</v>
      </c>
      <c r="BB23" s="106">
        <v>1593870.1923076923</v>
      </c>
      <c r="BC23" s="106">
        <v>4963461.538461538</v>
      </c>
      <c r="BD23" s="106">
        <v>3815384.6153846155</v>
      </c>
      <c r="BE23" s="106">
        <v>4569230.769230769</v>
      </c>
      <c r="BF23" s="106">
        <v>1830769.2307692308</v>
      </c>
      <c r="BG23" s="106"/>
    </row>
    <row r="24" spans="1:59" s="97" customFormat="1" x14ac:dyDescent="0.25">
      <c r="A24" s="248" t="s">
        <v>157</v>
      </c>
      <c r="B24" s="97" t="s">
        <v>161</v>
      </c>
      <c r="C24" s="98">
        <v>615384.61538461538</v>
      </c>
      <c r="D24" s="98">
        <v>615384.61538461538</v>
      </c>
      <c r="E24" s="98">
        <v>615384.61538461538</v>
      </c>
      <c r="F24" s="98">
        <v>288461.53846153844</v>
      </c>
      <c r="G24" s="98">
        <v>0</v>
      </c>
      <c r="H24" s="98">
        <v>0</v>
      </c>
      <c r="I24" s="98">
        <v>346153.84615384613</v>
      </c>
      <c r="J24" s="98">
        <v>355769.23076923075</v>
      </c>
      <c r="K24" s="98">
        <v>375000</v>
      </c>
      <c r="L24" s="98">
        <v>384615.38461538462</v>
      </c>
      <c r="M24" s="98">
        <v>384615.38461538462</v>
      </c>
      <c r="N24" s="98">
        <v>365384.61538461538</v>
      </c>
      <c r="O24" s="98">
        <v>346153.84615384613</v>
      </c>
      <c r="P24" s="98">
        <v>384615.38461538462</v>
      </c>
      <c r="Q24" s="98">
        <v>355769.23076923075</v>
      </c>
      <c r="R24" s="98">
        <v>201923.07692307691</v>
      </c>
      <c r="S24" s="98">
        <v>0</v>
      </c>
      <c r="T24" s="98">
        <v>0</v>
      </c>
      <c r="U24" s="98">
        <v>0</v>
      </c>
      <c r="V24" s="98">
        <v>250000</v>
      </c>
      <c r="W24" s="98">
        <v>250000</v>
      </c>
      <c r="X24" s="98">
        <v>250000</v>
      </c>
      <c r="Y24" s="98">
        <v>0</v>
      </c>
      <c r="Z24" s="98">
        <v>211538.46153846153</v>
      </c>
      <c r="AA24" s="98">
        <v>211538.46153846153</v>
      </c>
      <c r="AB24" s="98">
        <v>0</v>
      </c>
      <c r="AC24" s="98">
        <v>0</v>
      </c>
      <c r="AD24" s="98">
        <v>192307.69230769231</v>
      </c>
      <c r="AE24" s="98">
        <v>230769.23076923075</v>
      </c>
      <c r="AF24" s="98">
        <v>384615.38461538462</v>
      </c>
      <c r="AG24" s="98">
        <v>221153.84615384616</v>
      </c>
      <c r="AH24" s="98">
        <v>76923.076923076922</v>
      </c>
      <c r="AI24" s="98">
        <v>173076.92307692306</v>
      </c>
      <c r="AJ24" s="98">
        <v>153846.15384615384</v>
      </c>
      <c r="AK24" s="98">
        <v>134615.38461538462</v>
      </c>
      <c r="AL24" s="98">
        <v>134615.38461538462</v>
      </c>
      <c r="AM24" s="98">
        <v>134615.38461538462</v>
      </c>
      <c r="AN24" s="98">
        <v>134615.38461538462</v>
      </c>
      <c r="AO24" s="98">
        <v>0</v>
      </c>
      <c r="AP24" s="98">
        <v>0</v>
      </c>
      <c r="AQ24" s="98">
        <v>134615.38461538462</v>
      </c>
      <c r="AR24" s="98">
        <v>96153.846153846156</v>
      </c>
      <c r="AS24" s="98">
        <v>115384.61538461538</v>
      </c>
      <c r="AT24" s="98">
        <v>76923.076923076922</v>
      </c>
      <c r="AU24" s="98">
        <v>173076.92307692306</v>
      </c>
      <c r="AV24" s="98">
        <v>57692.307692307688</v>
      </c>
      <c r="AW24" s="98">
        <v>76923.076923076922</v>
      </c>
      <c r="AX24" s="98">
        <v>76923.076923076922</v>
      </c>
      <c r="AY24" s="98">
        <v>57692.307692307688</v>
      </c>
      <c r="AZ24" s="98">
        <v>57692.307692307688</v>
      </c>
      <c r="BA24" s="98">
        <v>57692.307692307688</v>
      </c>
      <c r="BB24" s="98">
        <v>153846.15384615384</v>
      </c>
      <c r="BC24" s="98">
        <v>269230.76923076925</v>
      </c>
      <c r="BD24" s="98">
        <v>307692.30769230769</v>
      </c>
      <c r="BE24" s="98">
        <v>403846.15384615381</v>
      </c>
      <c r="BF24" s="98">
        <v>0</v>
      </c>
      <c r="BG24" s="98"/>
    </row>
    <row r="25" spans="1:59" s="97" customFormat="1" x14ac:dyDescent="0.25">
      <c r="A25" s="249"/>
      <c r="B25" s="97" t="s">
        <v>162</v>
      </c>
      <c r="C25" s="98">
        <v>0</v>
      </c>
      <c r="D25" s="98">
        <v>0</v>
      </c>
      <c r="E25" s="98">
        <v>0</v>
      </c>
      <c r="F25" s="98">
        <v>115384.61538461539</v>
      </c>
      <c r="G25" s="98">
        <v>0</v>
      </c>
      <c r="H25" s="98">
        <v>0</v>
      </c>
      <c r="I25" s="98">
        <v>173076.92307692306</v>
      </c>
      <c r="J25" s="98">
        <v>177884.61538461538</v>
      </c>
      <c r="K25" s="98">
        <v>187500</v>
      </c>
      <c r="L25" s="98">
        <v>192307.69230769231</v>
      </c>
      <c r="M25" s="98">
        <v>192307.69230769231</v>
      </c>
      <c r="N25" s="98">
        <v>182692.30769230769</v>
      </c>
      <c r="O25" s="98">
        <v>173076.92307692306</v>
      </c>
      <c r="P25" s="98">
        <v>192307.69230769231</v>
      </c>
      <c r="Q25" s="98">
        <v>177884.61538461538</v>
      </c>
      <c r="R25" s="98">
        <v>100961.53846153845</v>
      </c>
      <c r="S25" s="98">
        <v>0</v>
      </c>
      <c r="T25" s="98">
        <v>0</v>
      </c>
      <c r="U25" s="98">
        <v>0</v>
      </c>
      <c r="V25" s="98">
        <v>125000</v>
      </c>
      <c r="W25" s="98">
        <v>125000</v>
      </c>
      <c r="X25" s="98">
        <v>125000</v>
      </c>
      <c r="Y25" s="98">
        <v>500000</v>
      </c>
      <c r="Z25" s="98">
        <v>105769.23076923077</v>
      </c>
      <c r="AA25" s="98">
        <v>105769.23076923077</v>
      </c>
      <c r="AB25" s="98">
        <v>0</v>
      </c>
      <c r="AC25" s="98">
        <v>0</v>
      </c>
      <c r="AD25" s="98">
        <v>96153.846153846156</v>
      </c>
      <c r="AE25" s="98">
        <v>115384.61538461538</v>
      </c>
      <c r="AF25" s="98">
        <v>192307.69230769231</v>
      </c>
      <c r="AG25" s="98">
        <v>110576.92307692308</v>
      </c>
      <c r="AH25" s="98">
        <v>38461.538461538461</v>
      </c>
      <c r="AI25" s="98">
        <v>86538.461538461532</v>
      </c>
      <c r="AJ25" s="98">
        <v>76923.076923076922</v>
      </c>
      <c r="AK25" s="98">
        <v>67307.692307692312</v>
      </c>
      <c r="AL25" s="98">
        <v>67307.692307692312</v>
      </c>
      <c r="AM25" s="98">
        <v>67307.692307692312</v>
      </c>
      <c r="AN25" s="98">
        <v>67307.692307692312</v>
      </c>
      <c r="AO25" s="98">
        <v>67307.692307692312</v>
      </c>
      <c r="AP25" s="98">
        <v>67307.692307692312</v>
      </c>
      <c r="AQ25" s="98">
        <v>67307.692307692312</v>
      </c>
      <c r="AR25" s="98">
        <v>48076.923076923078</v>
      </c>
      <c r="AS25" s="98">
        <v>57692.307692307688</v>
      </c>
      <c r="AT25" s="98">
        <v>38461.538461538461</v>
      </c>
      <c r="AU25" s="98">
        <v>86538.461538461532</v>
      </c>
      <c r="AV25" s="98">
        <v>28846.153846153844</v>
      </c>
      <c r="AW25" s="98">
        <v>38461.538461538461</v>
      </c>
      <c r="AX25" s="98">
        <v>38461.538461538461</v>
      </c>
      <c r="AY25" s="98">
        <v>28846.153846153844</v>
      </c>
      <c r="AZ25" s="98">
        <v>28846.153846153844</v>
      </c>
      <c r="BA25" s="98">
        <v>28846.153846153844</v>
      </c>
      <c r="BB25" s="98">
        <v>76923.076923076922</v>
      </c>
      <c r="BC25" s="98">
        <v>161538.46153846156</v>
      </c>
      <c r="BD25" s="98">
        <v>307692.30769230769</v>
      </c>
      <c r="BE25" s="98">
        <v>403846.15384615381</v>
      </c>
      <c r="BF25" s="98">
        <v>0</v>
      </c>
      <c r="BG25" s="98"/>
    </row>
    <row r="26" spans="1:59" s="97" customFormat="1" x14ac:dyDescent="0.25">
      <c r="A26" s="249"/>
      <c r="B26" s="97" t="s">
        <v>241</v>
      </c>
      <c r="C26" s="98">
        <v>384615.38461538462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365384.61538461538</v>
      </c>
      <c r="O26" s="98">
        <v>0</v>
      </c>
      <c r="P26" s="98">
        <v>0</v>
      </c>
      <c r="Q26" s="98">
        <v>0</v>
      </c>
      <c r="R26" s="98">
        <v>201923.07692307691</v>
      </c>
      <c r="S26" s="98">
        <v>0</v>
      </c>
      <c r="T26" s="98">
        <v>0</v>
      </c>
      <c r="U26" s="98">
        <v>0</v>
      </c>
      <c r="V26" s="98">
        <v>0</v>
      </c>
      <c r="W26" s="98">
        <v>0</v>
      </c>
      <c r="X26" s="98">
        <v>0</v>
      </c>
      <c r="Y26" s="98">
        <v>0</v>
      </c>
      <c r="Z26" s="98">
        <v>211538.46153846153</v>
      </c>
      <c r="AA26" s="98">
        <v>0</v>
      </c>
      <c r="AB26" s="98">
        <v>0</v>
      </c>
      <c r="AC26" s="98">
        <v>0</v>
      </c>
      <c r="AD26" s="98">
        <v>0</v>
      </c>
      <c r="AE26" s="98">
        <v>0</v>
      </c>
      <c r="AF26" s="98">
        <v>0</v>
      </c>
      <c r="AG26" s="98">
        <v>0</v>
      </c>
      <c r="AH26" s="98">
        <v>0</v>
      </c>
      <c r="AI26" s="98">
        <v>0</v>
      </c>
      <c r="AJ26" s="98">
        <v>0</v>
      </c>
      <c r="AK26" s="98">
        <v>0</v>
      </c>
      <c r="AL26" s="98">
        <v>0</v>
      </c>
      <c r="AM26" s="98">
        <v>0</v>
      </c>
      <c r="AN26" s="98">
        <v>0</v>
      </c>
      <c r="AO26" s="98">
        <v>0</v>
      </c>
      <c r="AP26" s="98">
        <v>269230.76923076925</v>
      </c>
      <c r="AQ26" s="98">
        <v>0</v>
      </c>
      <c r="AR26" s="98">
        <v>0</v>
      </c>
      <c r="AS26" s="98">
        <v>0</v>
      </c>
      <c r="AT26" s="98">
        <v>0</v>
      </c>
      <c r="AU26" s="98">
        <v>0</v>
      </c>
      <c r="AV26" s="98">
        <v>0</v>
      </c>
      <c r="AW26" s="98">
        <v>0</v>
      </c>
      <c r="AX26" s="98">
        <v>0</v>
      </c>
      <c r="AY26" s="98">
        <v>0</v>
      </c>
      <c r="AZ26" s="98">
        <v>0</v>
      </c>
      <c r="BA26" s="98">
        <v>0</v>
      </c>
      <c r="BB26" s="98">
        <v>0</v>
      </c>
      <c r="BC26" s="98">
        <v>242307.69230769231</v>
      </c>
      <c r="BD26" s="98">
        <v>0</v>
      </c>
      <c r="BE26" s="98">
        <v>0</v>
      </c>
      <c r="BF26" s="98">
        <v>0</v>
      </c>
      <c r="BG26" s="98"/>
    </row>
    <row r="27" spans="1:59" s="97" customFormat="1" x14ac:dyDescent="0.25">
      <c r="A27" s="249"/>
      <c r="B27" s="97" t="s">
        <v>231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  <c r="V27" s="98">
        <v>0</v>
      </c>
      <c r="W27" s="98">
        <v>0</v>
      </c>
      <c r="X27" s="98">
        <v>0</v>
      </c>
      <c r="Y27" s="98">
        <v>0</v>
      </c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8">
        <v>0</v>
      </c>
      <c r="AG27" s="98">
        <v>0</v>
      </c>
      <c r="AH27" s="98">
        <v>0</v>
      </c>
      <c r="AI27" s="98">
        <v>0</v>
      </c>
      <c r="AJ27" s="98">
        <v>0</v>
      </c>
      <c r="AK27" s="98">
        <v>0</v>
      </c>
      <c r="AL27" s="98">
        <v>0</v>
      </c>
      <c r="AM27" s="98">
        <v>0</v>
      </c>
      <c r="AN27" s="98">
        <v>0</v>
      </c>
      <c r="AO27" s="98">
        <v>134615.38461538462</v>
      </c>
      <c r="AP27" s="98">
        <v>134615.38461538462</v>
      </c>
      <c r="AQ27" s="98">
        <v>0</v>
      </c>
      <c r="AR27" s="98">
        <v>0</v>
      </c>
      <c r="AS27" s="98">
        <v>0</v>
      </c>
      <c r="AT27" s="98">
        <v>0</v>
      </c>
      <c r="AU27" s="98">
        <v>0</v>
      </c>
      <c r="AV27" s="98">
        <v>0</v>
      </c>
      <c r="AW27" s="98">
        <v>0</v>
      </c>
      <c r="AX27" s="98">
        <v>0</v>
      </c>
      <c r="AY27" s="98">
        <v>0</v>
      </c>
      <c r="AZ27" s="98">
        <v>0</v>
      </c>
      <c r="BA27" s="98">
        <v>0</v>
      </c>
      <c r="BB27" s="98">
        <v>0</v>
      </c>
      <c r="BC27" s="98">
        <v>0</v>
      </c>
      <c r="BD27" s="98">
        <v>0</v>
      </c>
      <c r="BE27" s="98">
        <v>0</v>
      </c>
      <c r="BF27" s="98">
        <v>0</v>
      </c>
      <c r="BG27" s="98"/>
    </row>
    <row r="28" spans="1:59" s="97" customFormat="1" x14ac:dyDescent="0.25">
      <c r="A28" s="249"/>
      <c r="B28" s="97" t="s">
        <v>163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300000</v>
      </c>
      <c r="M28" s="98">
        <v>0</v>
      </c>
      <c r="N28" s="98">
        <v>0</v>
      </c>
      <c r="O28" s="98">
        <v>0</v>
      </c>
      <c r="P28" s="98">
        <v>300000</v>
      </c>
      <c r="Q28" s="98">
        <v>0</v>
      </c>
      <c r="R28" s="98">
        <v>0</v>
      </c>
      <c r="S28" s="98">
        <v>0</v>
      </c>
      <c r="T28" s="98">
        <v>0</v>
      </c>
      <c r="U28" s="98">
        <v>0</v>
      </c>
      <c r="V28" s="98">
        <v>0</v>
      </c>
      <c r="W28" s="98">
        <v>0</v>
      </c>
      <c r="X28" s="98">
        <v>0</v>
      </c>
      <c r="Y28" s="98">
        <v>500000</v>
      </c>
      <c r="Z28" s="98">
        <v>0</v>
      </c>
      <c r="AA28" s="98">
        <v>0</v>
      </c>
      <c r="AB28" s="98">
        <v>0</v>
      </c>
      <c r="AC28" s="98">
        <v>0</v>
      </c>
      <c r="AD28" s="98">
        <v>0</v>
      </c>
      <c r="AE28" s="98">
        <v>0</v>
      </c>
      <c r="AF28" s="98">
        <v>500000</v>
      </c>
      <c r="AG28" s="98">
        <v>0</v>
      </c>
      <c r="AH28" s="98">
        <v>0</v>
      </c>
      <c r="AI28" s="98">
        <v>0</v>
      </c>
      <c r="AJ28" s="98">
        <v>0</v>
      </c>
      <c r="AK28" s="98">
        <v>0</v>
      </c>
      <c r="AL28" s="98">
        <v>0</v>
      </c>
      <c r="AM28" s="98">
        <v>0</v>
      </c>
      <c r="AN28" s="98">
        <v>0</v>
      </c>
      <c r="AO28" s="98">
        <v>500000</v>
      </c>
      <c r="AP28" s="98">
        <v>500000</v>
      </c>
      <c r="AQ28" s="98">
        <v>0</v>
      </c>
      <c r="AR28" s="98">
        <v>0</v>
      </c>
      <c r="AS28" s="98">
        <v>0</v>
      </c>
      <c r="AT28" s="98">
        <v>0</v>
      </c>
      <c r="AU28" s="98">
        <v>450000</v>
      </c>
      <c r="AV28" s="98">
        <v>0</v>
      </c>
      <c r="AW28" s="98">
        <v>0</v>
      </c>
      <c r="AX28" s="98">
        <v>0</v>
      </c>
      <c r="AY28" s="98">
        <v>0</v>
      </c>
      <c r="AZ28" s="98">
        <v>0</v>
      </c>
      <c r="BA28" s="98">
        <v>0</v>
      </c>
      <c r="BB28" s="98">
        <v>0</v>
      </c>
      <c r="BC28" s="98">
        <v>0</v>
      </c>
      <c r="BD28" s="98">
        <v>615384.61538461538</v>
      </c>
      <c r="BE28" s="98">
        <v>403846.15384615381</v>
      </c>
      <c r="BF28" s="98">
        <v>0</v>
      </c>
      <c r="BG28" s="98"/>
    </row>
    <row r="29" spans="1:59" s="97" customFormat="1" x14ac:dyDescent="0.25">
      <c r="A29" s="249"/>
      <c r="B29" s="97" t="s">
        <v>164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207692.30769230769</v>
      </c>
      <c r="J29" s="98">
        <v>213461.53846153847</v>
      </c>
      <c r="K29" s="98">
        <v>225000</v>
      </c>
      <c r="L29" s="98">
        <v>230769.23076923078</v>
      </c>
      <c r="M29" s="98">
        <v>230769.23076923078</v>
      </c>
      <c r="N29" s="98">
        <v>219230.76923076925</v>
      </c>
      <c r="O29" s="98">
        <v>207692.30769230769</v>
      </c>
      <c r="P29" s="98">
        <v>230769.23076923078</v>
      </c>
      <c r="Q29" s="98">
        <v>213461.53846153847</v>
      </c>
      <c r="R29" s="98">
        <v>121153.84615384616</v>
      </c>
      <c r="S29" s="98">
        <v>0</v>
      </c>
      <c r="T29" s="98">
        <v>0</v>
      </c>
      <c r="U29" s="98">
        <v>0</v>
      </c>
      <c r="V29" s="98">
        <v>150000</v>
      </c>
      <c r="W29" s="98">
        <v>150000</v>
      </c>
      <c r="X29" s="98">
        <v>150000</v>
      </c>
      <c r="Y29" s="98">
        <v>0</v>
      </c>
      <c r="Z29" s="98">
        <v>126923.07692307694</v>
      </c>
      <c r="AA29" s="98">
        <v>126923.07692307694</v>
      </c>
      <c r="AB29" s="98">
        <v>0</v>
      </c>
      <c r="AC29" s="98">
        <v>0</v>
      </c>
      <c r="AD29" s="98">
        <v>115384.61538461539</v>
      </c>
      <c r="AE29" s="98">
        <v>138461.53846153847</v>
      </c>
      <c r="AF29" s="98">
        <v>230769.23076923078</v>
      </c>
      <c r="AG29" s="98">
        <v>132692.30769230769</v>
      </c>
      <c r="AH29" s="98">
        <v>46153.846153846156</v>
      </c>
      <c r="AI29" s="98">
        <v>103846.15384615384</v>
      </c>
      <c r="AJ29" s="98">
        <v>92307.692307692312</v>
      </c>
      <c r="AK29" s="98">
        <v>80769.23076923078</v>
      </c>
      <c r="AL29" s="98">
        <v>80769.23076923078</v>
      </c>
      <c r="AM29" s="98">
        <v>80769.23076923078</v>
      </c>
      <c r="AN29" s="98">
        <v>80769.23076923078</v>
      </c>
      <c r="AO29" s="98">
        <v>80769.23076923078</v>
      </c>
      <c r="AP29" s="98">
        <v>80769.23076923078</v>
      </c>
      <c r="AQ29" s="98">
        <v>80769.23076923078</v>
      </c>
      <c r="AR29" s="98">
        <v>57692.307692307695</v>
      </c>
      <c r="AS29" s="98">
        <v>69230.769230769234</v>
      </c>
      <c r="AT29" s="98">
        <v>46153.846153846156</v>
      </c>
      <c r="AU29" s="98">
        <v>103846.15384615384</v>
      </c>
      <c r="AV29" s="98">
        <v>34615.384615384617</v>
      </c>
      <c r="AW29" s="98">
        <v>46153.846153846156</v>
      </c>
      <c r="AX29" s="98">
        <v>46153.846153846156</v>
      </c>
      <c r="AY29" s="98">
        <v>34615.384615384617</v>
      </c>
      <c r="AZ29" s="98">
        <v>34615.384615384617</v>
      </c>
      <c r="BA29" s="98">
        <v>34615.384615384617</v>
      </c>
      <c r="BB29" s="98">
        <v>92307.692307692312</v>
      </c>
      <c r="BC29" s="98">
        <v>161538.46153846156</v>
      </c>
      <c r="BD29" s="98">
        <v>307692.30769230769</v>
      </c>
      <c r="BE29" s="98">
        <v>403846.15384615381</v>
      </c>
      <c r="BF29" s="98">
        <v>0</v>
      </c>
      <c r="BG29" s="98"/>
    </row>
    <row r="30" spans="1:59" s="97" customFormat="1" x14ac:dyDescent="0.25">
      <c r="A30" s="238" t="s">
        <v>240</v>
      </c>
      <c r="B30" s="239"/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346153.84615384613</v>
      </c>
      <c r="J30" s="98">
        <v>355769.23076923075</v>
      </c>
      <c r="K30" s="98">
        <v>375000</v>
      </c>
      <c r="L30" s="98">
        <v>384615.38461538462</v>
      </c>
      <c r="M30" s="98">
        <v>384615.38461538462</v>
      </c>
      <c r="N30" s="98">
        <v>365384.61538461538</v>
      </c>
      <c r="O30" s="98">
        <v>346153.84615384613</v>
      </c>
      <c r="P30" s="98">
        <v>384615.38461538462</v>
      </c>
      <c r="Q30" s="98">
        <v>355769.23076923075</v>
      </c>
      <c r="R30" s="98">
        <v>201923.07692307691</v>
      </c>
      <c r="S30" s="98">
        <v>0</v>
      </c>
      <c r="T30" s="98">
        <v>0</v>
      </c>
      <c r="U30" s="98">
        <v>0</v>
      </c>
      <c r="V30" s="98">
        <v>250000</v>
      </c>
      <c r="W30" s="98">
        <v>250000</v>
      </c>
      <c r="X30" s="98">
        <v>250000</v>
      </c>
      <c r="Y30" s="98">
        <v>0</v>
      </c>
      <c r="Z30" s="98">
        <v>211538.46153846153</v>
      </c>
      <c r="AA30" s="98">
        <v>211538.46153846153</v>
      </c>
      <c r="AB30" s="98">
        <v>0</v>
      </c>
      <c r="AC30" s="98">
        <v>0</v>
      </c>
      <c r="AD30" s="98">
        <v>192307.69230769231</v>
      </c>
      <c r="AE30" s="98">
        <v>230769.23076923075</v>
      </c>
      <c r="AF30" s="98">
        <v>230769.23076923078</v>
      </c>
      <c r="AG30" s="98">
        <v>132692.30769230769</v>
      </c>
      <c r="AH30" s="98">
        <v>46153.846153846156</v>
      </c>
      <c r="AI30" s="98">
        <v>173076.92307692306</v>
      </c>
      <c r="AJ30" s="98">
        <v>153846.15384615384</v>
      </c>
      <c r="AK30" s="98">
        <v>134615.38461538462</v>
      </c>
      <c r="AL30" s="98">
        <v>134615.38461538462</v>
      </c>
      <c r="AM30" s="98">
        <v>134615.38461538462</v>
      </c>
      <c r="AN30" s="98">
        <v>328461.53846153844</v>
      </c>
      <c r="AO30" s="98">
        <v>403846.15384615387</v>
      </c>
      <c r="AP30" s="98">
        <v>698653.84615384624</v>
      </c>
      <c r="AQ30" s="98">
        <v>134615.38461538462</v>
      </c>
      <c r="AR30" s="98">
        <v>57692.307692307695</v>
      </c>
      <c r="AS30" s="98">
        <v>115384.61538461538</v>
      </c>
      <c r="AT30" s="98">
        <v>76923.076923076922</v>
      </c>
      <c r="AU30" s="98">
        <v>173076.92307692306</v>
      </c>
      <c r="AV30" s="98">
        <v>57692.307692307688</v>
      </c>
      <c r="AW30" s="98">
        <v>76923.076923076922</v>
      </c>
      <c r="AX30" s="98">
        <v>76923.076923076922</v>
      </c>
      <c r="AY30" s="98">
        <v>57692.307692307688</v>
      </c>
      <c r="AZ30" s="98">
        <v>57692.307692307688</v>
      </c>
      <c r="BA30" s="98">
        <v>57692.307692307688</v>
      </c>
      <c r="BB30" s="98">
        <v>153846.15384615384</v>
      </c>
      <c r="BC30" s="98">
        <v>1076923.076923077</v>
      </c>
      <c r="BD30" s="98">
        <v>1446153.8461538462</v>
      </c>
      <c r="BE30" s="98">
        <v>2746153.846153846</v>
      </c>
      <c r="BF30" s="98">
        <v>0</v>
      </c>
      <c r="BG30" s="98"/>
    </row>
    <row r="31" spans="1:59" s="110" customFormat="1" ht="14.25" x14ac:dyDescent="0.2">
      <c r="A31" s="242" t="s">
        <v>195</v>
      </c>
      <c r="B31" s="243"/>
      <c r="C31" s="109">
        <v>1000000</v>
      </c>
      <c r="D31" s="109">
        <v>615384.61538461538</v>
      </c>
      <c r="E31" s="109">
        <v>615384.61538461538</v>
      </c>
      <c r="F31" s="109">
        <v>403846.15384615381</v>
      </c>
      <c r="G31" s="109">
        <v>0</v>
      </c>
      <c r="H31" s="109">
        <v>0</v>
      </c>
      <c r="I31" s="109">
        <v>1073076.923076923</v>
      </c>
      <c r="J31" s="109">
        <v>1102884.6153846155</v>
      </c>
      <c r="K31" s="109">
        <v>1162500</v>
      </c>
      <c r="L31" s="109">
        <v>1492307.6923076925</v>
      </c>
      <c r="M31" s="109">
        <v>1192307.6923076925</v>
      </c>
      <c r="N31" s="109">
        <v>1498076.923076923</v>
      </c>
      <c r="O31" s="109">
        <v>1073076.923076923</v>
      </c>
      <c r="P31" s="109">
        <v>1492307.6923076925</v>
      </c>
      <c r="Q31" s="109">
        <v>1102884.6153846155</v>
      </c>
      <c r="R31" s="109">
        <v>827884.61538461526</v>
      </c>
      <c r="S31" s="109">
        <v>0</v>
      </c>
      <c r="T31" s="109">
        <v>0</v>
      </c>
      <c r="U31" s="109">
        <v>0</v>
      </c>
      <c r="V31" s="109">
        <v>775000</v>
      </c>
      <c r="W31" s="109">
        <v>775000</v>
      </c>
      <c r="X31" s="109">
        <v>775000</v>
      </c>
      <c r="Y31" s="109">
        <v>1000000</v>
      </c>
      <c r="Z31" s="109">
        <v>867307.69230769225</v>
      </c>
      <c r="AA31" s="109">
        <v>655769.23076923075</v>
      </c>
      <c r="AB31" s="109">
        <v>0</v>
      </c>
      <c r="AC31" s="109">
        <v>0</v>
      </c>
      <c r="AD31" s="109">
        <v>596153.84615384624</v>
      </c>
      <c r="AE31" s="109">
        <v>715384.61538461538</v>
      </c>
      <c r="AF31" s="109">
        <v>1538461.5384615385</v>
      </c>
      <c r="AG31" s="109">
        <v>597115.38461538462</v>
      </c>
      <c r="AH31" s="109">
        <v>207692.30769230769</v>
      </c>
      <c r="AI31" s="109">
        <v>536538.4615384615</v>
      </c>
      <c r="AJ31" s="109">
        <v>476923.07692307688</v>
      </c>
      <c r="AK31" s="109">
        <v>417307.69230769237</v>
      </c>
      <c r="AL31" s="109">
        <v>417307.69230769237</v>
      </c>
      <c r="AM31" s="109">
        <v>417307.69230769237</v>
      </c>
      <c r="AN31" s="109">
        <v>611153.84615384624</v>
      </c>
      <c r="AO31" s="109">
        <v>1186538.4615384615</v>
      </c>
      <c r="AP31" s="109">
        <v>1750576.9230769232</v>
      </c>
      <c r="AQ31" s="109">
        <v>417307.69230769237</v>
      </c>
      <c r="AR31" s="109">
        <v>259615.38461538462</v>
      </c>
      <c r="AS31" s="109">
        <v>357692.30769230769</v>
      </c>
      <c r="AT31" s="109">
        <v>238461.53846153844</v>
      </c>
      <c r="AU31" s="109">
        <v>986538.4615384615</v>
      </c>
      <c r="AV31" s="109">
        <v>178846.15384615384</v>
      </c>
      <c r="AW31" s="109">
        <v>238461.53846153844</v>
      </c>
      <c r="AX31" s="109">
        <v>238461.53846153844</v>
      </c>
      <c r="AY31" s="109">
        <v>178846.15384615384</v>
      </c>
      <c r="AZ31" s="109">
        <v>178846.15384615384</v>
      </c>
      <c r="BA31" s="109">
        <v>178846.15384615384</v>
      </c>
      <c r="BB31" s="109">
        <v>476923.07692307688</v>
      </c>
      <c r="BC31" s="109">
        <v>1911538.4615384617</v>
      </c>
      <c r="BD31" s="109">
        <v>2984615.384615385</v>
      </c>
      <c r="BE31" s="109">
        <v>4361538.461538461</v>
      </c>
      <c r="BF31" s="109">
        <v>0</v>
      </c>
      <c r="BG31" s="109"/>
    </row>
    <row r="32" spans="1:59" s="97" customFormat="1" x14ac:dyDescent="0.25">
      <c r="A32" s="248" t="s">
        <v>159</v>
      </c>
      <c r="B32" s="97" t="s">
        <v>174</v>
      </c>
      <c r="C32" s="98">
        <v>0</v>
      </c>
      <c r="D32" s="98">
        <v>66105.769230769234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21394.23076923077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39903.846153846156</v>
      </c>
      <c r="AG32" s="98">
        <v>39903.846153846156</v>
      </c>
      <c r="AH32" s="98">
        <v>0</v>
      </c>
      <c r="AI32" s="98">
        <v>0</v>
      </c>
      <c r="AJ32" s="98">
        <v>0</v>
      </c>
      <c r="AK32" s="98">
        <v>0</v>
      </c>
      <c r="AL32" s="98">
        <v>0</v>
      </c>
      <c r="AM32" s="98">
        <v>0</v>
      </c>
      <c r="AN32" s="98">
        <v>0</v>
      </c>
      <c r="AO32" s="98">
        <v>0</v>
      </c>
      <c r="AP32" s="98">
        <v>0</v>
      </c>
      <c r="AQ32" s="98">
        <v>0</v>
      </c>
      <c r="AR32" s="98">
        <v>0</v>
      </c>
      <c r="AS32" s="98">
        <v>0</v>
      </c>
      <c r="AT32" s="98">
        <v>0</v>
      </c>
      <c r="AU32" s="98">
        <v>0</v>
      </c>
      <c r="AV32" s="98">
        <v>0</v>
      </c>
      <c r="AW32" s="98">
        <v>0</v>
      </c>
      <c r="AX32" s="98">
        <v>0</v>
      </c>
      <c r="AY32" s="98">
        <v>0</v>
      </c>
      <c r="AZ32" s="98">
        <v>0</v>
      </c>
      <c r="BA32" s="98">
        <v>0</v>
      </c>
      <c r="BB32" s="98">
        <v>0</v>
      </c>
      <c r="BC32" s="98"/>
      <c r="BD32" s="98">
        <v>0</v>
      </c>
      <c r="BE32" s="98">
        <v>0</v>
      </c>
      <c r="BF32" s="98">
        <v>0</v>
      </c>
      <c r="BG32" s="98"/>
    </row>
    <row r="33" spans="1:59" s="97" customFormat="1" x14ac:dyDescent="0.25">
      <c r="A33" s="249"/>
      <c r="B33" s="97" t="s">
        <v>198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>
        <v>3000000</v>
      </c>
      <c r="BF33" s="98"/>
      <c r="BG33" s="98"/>
    </row>
    <row r="34" spans="1:59" s="97" customFormat="1" x14ac:dyDescent="0.25">
      <c r="A34" s="249"/>
      <c r="B34" s="111" t="s">
        <v>200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>
        <v>500000</v>
      </c>
      <c r="BF34" s="98"/>
      <c r="BG34" s="98"/>
    </row>
    <row r="35" spans="1:59" s="97" customFormat="1" x14ac:dyDescent="0.25">
      <c r="A35" s="250"/>
      <c r="B35" s="97" t="s">
        <v>175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</row>
    <row r="36" spans="1:59" s="110" customFormat="1" ht="15" customHeight="1" x14ac:dyDescent="0.2">
      <c r="A36" s="242" t="s">
        <v>181</v>
      </c>
      <c r="B36" s="243"/>
      <c r="C36" s="109">
        <v>0</v>
      </c>
      <c r="D36" s="109">
        <v>66105.769230769234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21394.23076923077</v>
      </c>
      <c r="T36" s="109">
        <v>0</v>
      </c>
      <c r="U36" s="109">
        <v>0</v>
      </c>
      <c r="V36" s="109">
        <v>0</v>
      </c>
      <c r="W36" s="109">
        <v>0</v>
      </c>
      <c r="X36" s="109">
        <v>0</v>
      </c>
      <c r="Y36" s="109">
        <v>0</v>
      </c>
      <c r="Z36" s="109">
        <v>0</v>
      </c>
      <c r="AA36" s="109">
        <v>0</v>
      </c>
      <c r="AB36" s="109">
        <v>0</v>
      </c>
      <c r="AC36" s="109">
        <v>0</v>
      </c>
      <c r="AD36" s="109">
        <v>0</v>
      </c>
      <c r="AE36" s="109">
        <v>0</v>
      </c>
      <c r="AF36" s="109">
        <v>39903.846153846156</v>
      </c>
      <c r="AG36" s="109">
        <v>39903.846153846156</v>
      </c>
      <c r="AH36" s="109">
        <v>0</v>
      </c>
      <c r="AI36" s="109">
        <v>0</v>
      </c>
      <c r="AJ36" s="109">
        <v>0</v>
      </c>
      <c r="AK36" s="109">
        <v>0</v>
      </c>
      <c r="AL36" s="109">
        <v>0</v>
      </c>
      <c r="AM36" s="109">
        <v>0</v>
      </c>
      <c r="AN36" s="109">
        <v>0</v>
      </c>
      <c r="AO36" s="109">
        <v>0</v>
      </c>
      <c r="AP36" s="109">
        <v>0</v>
      </c>
      <c r="AQ36" s="109">
        <v>0</v>
      </c>
      <c r="AR36" s="109">
        <v>0</v>
      </c>
      <c r="AS36" s="109">
        <v>0</v>
      </c>
      <c r="AT36" s="109">
        <v>0</v>
      </c>
      <c r="AU36" s="109">
        <v>0</v>
      </c>
      <c r="AV36" s="109">
        <v>0</v>
      </c>
      <c r="AW36" s="109">
        <v>0</v>
      </c>
      <c r="AX36" s="109">
        <v>0</v>
      </c>
      <c r="AY36" s="109">
        <v>0</v>
      </c>
      <c r="AZ36" s="109">
        <v>0</v>
      </c>
      <c r="BA36" s="109">
        <v>0</v>
      </c>
      <c r="BB36" s="109">
        <v>0</v>
      </c>
      <c r="BC36" s="109"/>
      <c r="BD36" s="109">
        <v>0</v>
      </c>
      <c r="BE36" s="109">
        <v>3500000</v>
      </c>
      <c r="BF36" s="109">
        <v>0</v>
      </c>
      <c r="BG36" s="109"/>
    </row>
    <row r="37" spans="1:59" s="99" customFormat="1" ht="16.5" customHeight="1" x14ac:dyDescent="0.2">
      <c r="A37" s="236" t="s">
        <v>160</v>
      </c>
      <c r="B37" s="237"/>
      <c r="C37" s="100">
        <v>11649639.423076922</v>
      </c>
      <c r="D37" s="100">
        <v>9833173.0769230761</v>
      </c>
      <c r="E37" s="100">
        <v>9554206.7307692319</v>
      </c>
      <c r="F37" s="100">
        <v>5348557.692307692</v>
      </c>
      <c r="G37" s="100">
        <v>545552.88461538462</v>
      </c>
      <c r="H37" s="100">
        <v>545552.88461538462</v>
      </c>
      <c r="I37" s="100">
        <v>4672656.25</v>
      </c>
      <c r="J37" s="100">
        <v>7285817.307692308</v>
      </c>
      <c r="K37" s="100">
        <v>7904891.8269230761</v>
      </c>
      <c r="L37" s="100">
        <v>8759927.884615384</v>
      </c>
      <c r="M37" s="100">
        <v>7414819.7115384601</v>
      </c>
      <c r="N37" s="100">
        <v>8114242.788461539</v>
      </c>
      <c r="O37" s="100">
        <v>6568185.096153846</v>
      </c>
      <c r="P37" s="100">
        <v>8060336.538461538</v>
      </c>
      <c r="Q37" s="100">
        <v>4750600.961538462</v>
      </c>
      <c r="R37" s="100">
        <v>5257560.0961538451</v>
      </c>
      <c r="S37" s="100">
        <v>235336.53846153847</v>
      </c>
      <c r="T37" s="100">
        <v>577644.23076923075</v>
      </c>
      <c r="U37" s="100">
        <v>647175.48076923075</v>
      </c>
      <c r="V37" s="100">
        <v>4695492.788461538</v>
      </c>
      <c r="W37" s="100">
        <v>4695492.788461538</v>
      </c>
      <c r="X37" s="100">
        <v>3775540.8653846155</v>
      </c>
      <c r="Y37" s="100">
        <v>11000000</v>
      </c>
      <c r="Z37" s="100">
        <v>4336382.211538462</v>
      </c>
      <c r="AA37" s="100">
        <v>4086334.134615385</v>
      </c>
      <c r="AB37" s="100">
        <v>1486899.0384615385</v>
      </c>
      <c r="AC37" s="100">
        <v>1535036.0576923075</v>
      </c>
      <c r="AD37" s="100">
        <v>2810456.730769231</v>
      </c>
      <c r="AE37" s="100">
        <v>3480588.9423076925</v>
      </c>
      <c r="AF37" s="100">
        <v>6072536.057692308</v>
      </c>
      <c r="AG37" s="100">
        <v>2871634.6153846155</v>
      </c>
      <c r="AH37" s="100">
        <v>1090564.903846154</v>
      </c>
      <c r="AI37" s="100">
        <v>2834278.8461538465</v>
      </c>
      <c r="AJ37" s="100">
        <v>2942608.173076923</v>
      </c>
      <c r="AK37" s="100">
        <v>2180192.3076923075</v>
      </c>
      <c r="AL37" s="100">
        <v>2276466.346153846</v>
      </c>
      <c r="AM37" s="100">
        <v>2439062.5</v>
      </c>
      <c r="AN37" s="100">
        <v>2632908.653846154</v>
      </c>
      <c r="AO37" s="100">
        <v>3474651.4423076925</v>
      </c>
      <c r="AP37" s="100">
        <v>4425495.192307692</v>
      </c>
      <c r="AQ37" s="100">
        <v>2439062.5</v>
      </c>
      <c r="AR37" s="100">
        <v>1057692.3076923077</v>
      </c>
      <c r="AS37" s="100">
        <v>2272475.9615384615</v>
      </c>
      <c r="AT37" s="100">
        <v>1131670.673076923</v>
      </c>
      <c r="AU37" s="100">
        <v>3137980.769230769</v>
      </c>
      <c r="AV37" s="100">
        <v>1061358.173076923</v>
      </c>
      <c r="AW37" s="100">
        <v>1558485.576923077</v>
      </c>
      <c r="AX37" s="100">
        <v>1558485.576923077</v>
      </c>
      <c r="AY37" s="100">
        <v>981129.80769230775</v>
      </c>
      <c r="AZ37" s="100">
        <v>997175.48076923087</v>
      </c>
      <c r="BA37" s="100">
        <v>981129.80769230775</v>
      </c>
      <c r="BB37" s="100">
        <v>2070793.269230769</v>
      </c>
      <c r="BC37" s="100">
        <v>6875000</v>
      </c>
      <c r="BD37" s="100">
        <v>6800000</v>
      </c>
      <c r="BE37" s="100">
        <v>5430769.2307692301</v>
      </c>
      <c r="BF37" s="100">
        <v>1830769.2307692308</v>
      </c>
      <c r="BG37" s="100">
        <v>13894230.769230768</v>
      </c>
    </row>
    <row r="41" spans="1:59" x14ac:dyDescent="0.25">
      <c r="C41" s="87">
        <v>10000000</v>
      </c>
      <c r="E41" s="87">
        <v>500000</v>
      </c>
      <c r="H41" s="87">
        <v>500000</v>
      </c>
      <c r="K41" s="87">
        <v>11000000</v>
      </c>
      <c r="L41" s="87">
        <v>26</v>
      </c>
      <c r="N41" s="87">
        <v>0</v>
      </c>
      <c r="O41" s="87">
        <v>0</v>
      </c>
      <c r="Q41" s="87">
        <v>0</v>
      </c>
      <c r="S41" s="87">
        <v>10000000</v>
      </c>
      <c r="T41" s="87">
        <v>0</v>
      </c>
      <c r="U41" s="87">
        <v>0</v>
      </c>
      <c r="V41" s="87">
        <v>10000000</v>
      </c>
      <c r="W41" s="87">
        <v>0</v>
      </c>
      <c r="X41" s="87">
        <v>500000</v>
      </c>
      <c r="Y41" s="87">
        <v>0</v>
      </c>
      <c r="Z41" s="87">
        <v>0</v>
      </c>
      <c r="AA41" s="87">
        <v>500000</v>
      </c>
      <c r="AB41" s="87">
        <v>0</v>
      </c>
      <c r="AC41" s="87">
        <v>0</v>
      </c>
      <c r="AD41" s="87">
        <v>1000000</v>
      </c>
      <c r="AE41" s="87">
        <v>0</v>
      </c>
      <c r="AI41" s="87">
        <v>0</v>
      </c>
      <c r="AJ41" s="87">
        <v>11000000</v>
      </c>
    </row>
  </sheetData>
  <mergeCells count="16">
    <mergeCell ref="A37:B37"/>
    <mergeCell ref="A4:B4"/>
    <mergeCell ref="A3:B3"/>
    <mergeCell ref="A2:B2"/>
    <mergeCell ref="A36:B36"/>
    <mergeCell ref="A31:B31"/>
    <mergeCell ref="A23:B23"/>
    <mergeCell ref="A12:B12"/>
    <mergeCell ref="A5:A10"/>
    <mergeCell ref="A13:A15"/>
    <mergeCell ref="A16:A19"/>
    <mergeCell ref="A20:A22"/>
    <mergeCell ref="A32:A35"/>
    <mergeCell ref="A24:A29"/>
    <mergeCell ref="A30:B30"/>
    <mergeCell ref="A11:B11"/>
  </mergeCells>
  <conditionalFormatting sqref="C38:BF39">
    <cfRule type="duplicateValues" dxfId="1" priority="22"/>
  </conditionalFormatting>
  <conditionalFormatting sqref="C38:BG39">
    <cfRule type="duplicateValues" dxfId="0" priority="23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90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C33" sqref="C33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43.85546875" customWidth="1"/>
    <col min="4" max="21" width="4" customWidth="1"/>
    <col min="22" max="22" width="5.85546875" customWidth="1"/>
    <col min="23" max="25" width="4" customWidth="1"/>
    <col min="26" max="26" width="4.140625" customWidth="1"/>
    <col min="27" max="32" width="4" customWidth="1"/>
    <col min="33" max="34" width="4" hidden="1" customWidth="1"/>
    <col min="35" max="36" width="7.140625" customWidth="1"/>
    <col min="37" max="38" width="5.7109375" style="1" customWidth="1"/>
    <col min="39" max="39" width="6.5703125" style="1" customWidth="1"/>
    <col min="40" max="40" width="7.28515625" style="1" customWidth="1"/>
    <col min="41" max="41" width="6.85546875" style="1" customWidth="1"/>
    <col min="42" max="16384" width="9.140625" style="1"/>
  </cols>
  <sheetData>
    <row r="1" spans="1:44" ht="20.25" x14ac:dyDescent="0.25">
      <c r="B1" s="2"/>
      <c r="C1" s="189" t="s">
        <v>0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3"/>
      <c r="AN1" s="3"/>
      <c r="AO1" s="3"/>
      <c r="AP1" s="181">
        <f>DATE(V2,S2,1)</f>
        <v>45323</v>
      </c>
      <c r="AQ1" s="181"/>
      <c r="AR1" s="181"/>
    </row>
    <row r="2" spans="1:44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1</v>
      </c>
      <c r="R2" s="8"/>
      <c r="S2" s="9">
        <v>2</v>
      </c>
      <c r="T2" s="7" t="s">
        <v>2</v>
      </c>
      <c r="U2" s="7"/>
      <c r="V2" s="10">
        <v>2024</v>
      </c>
      <c r="W2" s="1"/>
      <c r="X2" s="11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44" ht="21.75" customHeight="1" x14ac:dyDescent="0.25">
      <c r="B3" s="182" t="s">
        <v>3</v>
      </c>
      <c r="C3" s="183" t="s">
        <v>4</v>
      </c>
      <c r="D3" s="13">
        <f>AP1</f>
        <v>45323</v>
      </c>
      <c r="E3" s="13">
        <f t="shared" ref="E3:T4" si="0">D3+1</f>
        <v>45324</v>
      </c>
      <c r="F3" s="13">
        <f t="shared" si="0"/>
        <v>45325</v>
      </c>
      <c r="G3" s="13">
        <f t="shared" si="0"/>
        <v>45326</v>
      </c>
      <c r="H3" s="13">
        <f t="shared" si="0"/>
        <v>45327</v>
      </c>
      <c r="I3" s="13">
        <f t="shared" si="0"/>
        <v>45328</v>
      </c>
      <c r="J3" s="13">
        <f t="shared" si="0"/>
        <v>45329</v>
      </c>
      <c r="K3" s="13">
        <f t="shared" si="0"/>
        <v>45330</v>
      </c>
      <c r="L3" s="13">
        <f t="shared" si="0"/>
        <v>45331</v>
      </c>
      <c r="M3" s="13">
        <f t="shared" si="0"/>
        <v>45332</v>
      </c>
      <c r="N3" s="13">
        <f t="shared" si="0"/>
        <v>45333</v>
      </c>
      <c r="O3" s="13">
        <f t="shared" si="0"/>
        <v>45334</v>
      </c>
      <c r="P3" s="13">
        <f t="shared" si="0"/>
        <v>45335</v>
      </c>
      <c r="Q3" s="13">
        <f t="shared" si="0"/>
        <v>45336</v>
      </c>
      <c r="R3" s="13">
        <f t="shared" si="0"/>
        <v>45337</v>
      </c>
      <c r="S3" s="13">
        <f t="shared" si="0"/>
        <v>45338</v>
      </c>
      <c r="T3" s="13">
        <f t="shared" si="0"/>
        <v>45339</v>
      </c>
      <c r="U3" s="13">
        <f t="shared" ref="U3:AE4" si="1">T3+1</f>
        <v>45340</v>
      </c>
      <c r="V3" s="13">
        <f t="shared" si="1"/>
        <v>45341</v>
      </c>
      <c r="W3" s="13">
        <f t="shared" si="1"/>
        <v>45342</v>
      </c>
      <c r="X3" s="13">
        <f t="shared" si="1"/>
        <v>45343</v>
      </c>
      <c r="Y3" s="13">
        <f t="shared" si="1"/>
        <v>45344</v>
      </c>
      <c r="Z3" s="13">
        <f t="shared" si="1"/>
        <v>45345</v>
      </c>
      <c r="AA3" s="13">
        <f t="shared" si="1"/>
        <v>45346</v>
      </c>
      <c r="AB3" s="13">
        <f t="shared" si="1"/>
        <v>45347</v>
      </c>
      <c r="AC3" s="13">
        <f t="shared" si="1"/>
        <v>45348</v>
      </c>
      <c r="AD3" s="13">
        <f t="shared" si="1"/>
        <v>45349</v>
      </c>
      <c r="AE3" s="13">
        <f t="shared" si="1"/>
        <v>45350</v>
      </c>
      <c r="AF3" s="13">
        <f t="shared" ref="AF3:AH4" si="2">IF(AE3="","",IF(DAY(AE3+1)=1,"",AE3+1))</f>
        <v>45351</v>
      </c>
      <c r="AG3" s="13" t="str">
        <f t="shared" si="2"/>
        <v/>
      </c>
      <c r="AH3" s="13" t="str">
        <f t="shared" si="2"/>
        <v/>
      </c>
      <c r="AI3" s="184" t="s">
        <v>5</v>
      </c>
      <c r="AJ3" s="84"/>
      <c r="AK3" s="185" t="s">
        <v>178</v>
      </c>
      <c r="AL3" s="186"/>
      <c r="AM3" s="186"/>
      <c r="AN3" s="186"/>
      <c r="AO3" s="186"/>
    </row>
    <row r="4" spans="1:44" ht="51" x14ac:dyDescent="0.25">
      <c r="B4" s="182"/>
      <c r="C4" s="183"/>
      <c r="D4" s="14">
        <f>AP1</f>
        <v>45323</v>
      </c>
      <c r="E4" s="15">
        <f t="shared" si="0"/>
        <v>45324</v>
      </c>
      <c r="F4" s="15">
        <f>E4+1</f>
        <v>45325</v>
      </c>
      <c r="G4" s="15">
        <f t="shared" si="0"/>
        <v>45326</v>
      </c>
      <c r="H4" s="15">
        <f t="shared" si="0"/>
        <v>45327</v>
      </c>
      <c r="I4" s="15">
        <f t="shared" si="0"/>
        <v>45328</v>
      </c>
      <c r="J4" s="15">
        <f t="shared" si="0"/>
        <v>45329</v>
      </c>
      <c r="K4" s="15">
        <f t="shared" si="0"/>
        <v>45330</v>
      </c>
      <c r="L4" s="15">
        <f t="shared" si="0"/>
        <v>45331</v>
      </c>
      <c r="M4" s="15">
        <f t="shared" si="0"/>
        <v>45332</v>
      </c>
      <c r="N4" s="15">
        <f t="shared" si="0"/>
        <v>45333</v>
      </c>
      <c r="O4" s="15">
        <f t="shared" si="0"/>
        <v>45334</v>
      </c>
      <c r="P4" s="15">
        <f t="shared" si="0"/>
        <v>45335</v>
      </c>
      <c r="Q4" s="15">
        <f t="shared" si="0"/>
        <v>45336</v>
      </c>
      <c r="R4" s="15">
        <f t="shared" si="0"/>
        <v>45337</v>
      </c>
      <c r="S4" s="15">
        <f t="shared" si="0"/>
        <v>45338</v>
      </c>
      <c r="T4" s="15">
        <f t="shared" si="0"/>
        <v>45339</v>
      </c>
      <c r="U4" s="15">
        <f t="shared" si="1"/>
        <v>45340</v>
      </c>
      <c r="V4" s="15">
        <f t="shared" si="1"/>
        <v>45341</v>
      </c>
      <c r="W4" s="15">
        <f t="shared" si="1"/>
        <v>45342</v>
      </c>
      <c r="X4" s="15">
        <f t="shared" si="1"/>
        <v>45343</v>
      </c>
      <c r="Y4" s="15">
        <f t="shared" si="1"/>
        <v>45344</v>
      </c>
      <c r="Z4" s="15">
        <f t="shared" si="1"/>
        <v>45345</v>
      </c>
      <c r="AA4" s="15">
        <f t="shared" si="1"/>
        <v>45346</v>
      </c>
      <c r="AB4" s="15">
        <f t="shared" si="1"/>
        <v>45347</v>
      </c>
      <c r="AC4" s="15">
        <f t="shared" si="1"/>
        <v>45348</v>
      </c>
      <c r="AD4" s="15">
        <f t="shared" si="1"/>
        <v>45349</v>
      </c>
      <c r="AE4" s="15">
        <f t="shared" si="1"/>
        <v>45350</v>
      </c>
      <c r="AF4" s="15">
        <f t="shared" si="2"/>
        <v>45351</v>
      </c>
      <c r="AG4" s="15" t="str">
        <f t="shared" si="2"/>
        <v/>
      </c>
      <c r="AH4" s="15" t="str">
        <f t="shared" si="2"/>
        <v/>
      </c>
      <c r="AI4" s="184"/>
      <c r="AJ4" s="35" t="s">
        <v>180</v>
      </c>
      <c r="AK4" s="82" t="s">
        <v>37</v>
      </c>
      <c r="AL4" s="82" t="s">
        <v>38</v>
      </c>
      <c r="AM4" s="83" t="s">
        <v>179</v>
      </c>
      <c r="AN4" s="82" t="s">
        <v>95</v>
      </c>
      <c r="AO4" s="82" t="s">
        <v>166</v>
      </c>
    </row>
    <row r="5" spans="1:44" ht="15.75" x14ac:dyDescent="0.25">
      <c r="B5" s="16"/>
      <c r="C5" s="16" t="s">
        <v>97</v>
      </c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9"/>
      <c r="AJ5" s="19"/>
      <c r="AK5" s="20"/>
      <c r="AL5" s="20"/>
      <c r="AM5" s="20"/>
      <c r="AN5" s="20"/>
      <c r="AO5" s="20"/>
    </row>
    <row r="6" spans="1:44" ht="15.75" x14ac:dyDescent="0.25">
      <c r="A6" s="1" t="s">
        <v>6</v>
      </c>
      <c r="B6" s="21">
        <v>1</v>
      </c>
      <c r="C6" s="22" t="s">
        <v>39</v>
      </c>
      <c r="D6" s="23" t="s">
        <v>26</v>
      </c>
      <c r="E6" s="23" t="s">
        <v>26</v>
      </c>
      <c r="F6" s="23" t="s">
        <v>26</v>
      </c>
      <c r="G6" s="42">
        <v>9.5</v>
      </c>
      <c r="H6" s="23" t="s">
        <v>26</v>
      </c>
      <c r="I6" s="23" t="s">
        <v>26</v>
      </c>
      <c r="J6" s="23" t="s">
        <v>26</v>
      </c>
      <c r="K6" s="39" t="s">
        <v>89</v>
      </c>
      <c r="L6" s="39"/>
      <c r="M6" s="39"/>
      <c r="N6" s="42" t="str">
        <f t="shared" ref="N6:N21" si="3">IF(OR(N$3="",$C6=""),"",IF(WEEKDAY(N$3,2)&gt;6,"CN","x"))</f>
        <v>CN</v>
      </c>
      <c r="O6" s="39"/>
      <c r="P6" s="39"/>
      <c r="Q6" s="23" t="s">
        <v>26</v>
      </c>
      <c r="R6" s="23" t="s">
        <v>26</v>
      </c>
      <c r="S6" s="23" t="s">
        <v>26</v>
      </c>
      <c r="T6" s="23" t="s">
        <v>26</v>
      </c>
      <c r="U6" s="42">
        <v>8</v>
      </c>
      <c r="V6" s="23" t="s">
        <v>26</v>
      </c>
      <c r="W6" s="23" t="s">
        <v>26</v>
      </c>
      <c r="X6" s="23" t="s">
        <v>26</v>
      </c>
      <c r="Y6" s="23" t="s">
        <v>26</v>
      </c>
      <c r="Z6" s="23" t="s">
        <v>26</v>
      </c>
      <c r="AA6" s="23" t="s">
        <v>26</v>
      </c>
      <c r="AB6" s="42"/>
      <c r="AC6" s="23" t="s">
        <v>26</v>
      </c>
      <c r="AD6" s="23" t="s">
        <v>26</v>
      </c>
      <c r="AE6" s="23" t="s">
        <v>26</v>
      </c>
      <c r="AF6" s="23" t="s">
        <v>26</v>
      </c>
      <c r="AG6" s="23" t="str">
        <f t="shared" ref="AG6:AH17" si="4">IF(OR(AG$3="",$C6=""),"",IF(WEEKDAY(AG$3,2)&gt;6,"CN","x"))</f>
        <v/>
      </c>
      <c r="AH6" s="23" t="str">
        <f t="shared" si="4"/>
        <v/>
      </c>
      <c r="AI6" s="24">
        <f>IF(C6="","",COUNTIF(D6:AH6,"x")+COUNTIF(D6:AH6,"x/2")*0.5)</f>
        <v>20</v>
      </c>
      <c r="AJ6" s="24">
        <f>+COUNTIF(D6:AF6,"P")</f>
        <v>0</v>
      </c>
      <c r="AK6" s="41">
        <f>+'Chi tiết tăng ca'!AU4</f>
        <v>55.5</v>
      </c>
      <c r="AL6" s="41">
        <f>+'Chi tiết tăng ca'!AV4</f>
        <v>2.5</v>
      </c>
      <c r="AM6" s="41">
        <f>+G6+U6+AB6</f>
        <v>17.5</v>
      </c>
      <c r="AN6" s="41">
        <f>+AK6*1.5+AL6*1.8+AM6*2</f>
        <v>122.75</v>
      </c>
      <c r="AO6" s="41">
        <f t="shared" ref="AO6:AO37" si="5">+COUNTIF(F6:AH6,"T")</f>
        <v>1</v>
      </c>
    </row>
    <row r="7" spans="1:44" ht="15.75" x14ac:dyDescent="0.25">
      <c r="A7" s="1" t="s">
        <v>7</v>
      </c>
      <c r="B7" s="21">
        <v>2</v>
      </c>
      <c r="C7" s="22" t="s">
        <v>40</v>
      </c>
      <c r="D7" s="23" t="s">
        <v>26</v>
      </c>
      <c r="E7" s="23" t="s">
        <v>26</v>
      </c>
      <c r="F7" s="23" t="s">
        <v>26</v>
      </c>
      <c r="G7" s="42">
        <v>4</v>
      </c>
      <c r="H7" s="23" t="s">
        <v>26</v>
      </c>
      <c r="I7" s="23" t="s">
        <v>26</v>
      </c>
      <c r="J7" s="23" t="s">
        <v>26</v>
      </c>
      <c r="K7" s="39"/>
      <c r="L7" s="39"/>
      <c r="M7" s="39"/>
      <c r="N7" s="42" t="str">
        <f t="shared" si="3"/>
        <v>CN</v>
      </c>
      <c r="O7" s="39"/>
      <c r="P7" s="39"/>
      <c r="Q7" s="23" t="s">
        <v>26</v>
      </c>
      <c r="R7" s="23" t="s">
        <v>26</v>
      </c>
      <c r="S7" s="23" t="s">
        <v>26</v>
      </c>
      <c r="T7" s="23" t="s">
        <v>26</v>
      </c>
      <c r="U7" s="42">
        <v>8</v>
      </c>
      <c r="V7" s="23" t="s">
        <v>26</v>
      </c>
      <c r="W7" s="23" t="s">
        <v>26</v>
      </c>
      <c r="X7" s="23" t="s">
        <v>26</v>
      </c>
      <c r="Y7" s="23" t="s">
        <v>26</v>
      </c>
      <c r="Z7" s="23" t="s">
        <v>26</v>
      </c>
      <c r="AA7" s="23" t="s">
        <v>26</v>
      </c>
      <c r="AB7" s="42"/>
      <c r="AC7" s="23" t="s">
        <v>26</v>
      </c>
      <c r="AD7" s="23" t="s">
        <v>26</v>
      </c>
      <c r="AE7" s="23" t="s">
        <v>26</v>
      </c>
      <c r="AF7" s="23" t="s">
        <v>26</v>
      </c>
      <c r="AG7" s="23" t="str">
        <f t="shared" si="4"/>
        <v/>
      </c>
      <c r="AH7" s="23" t="str">
        <f t="shared" si="4"/>
        <v/>
      </c>
      <c r="AI7" s="24">
        <f t="shared" ref="AI7:AI57" si="6">IF(C7="","",COUNTIF(D7:AH7,"x")+COUNTIF(D7:AH7,"x/2")*0.5)</f>
        <v>20</v>
      </c>
      <c r="AJ7" s="24">
        <f t="shared" ref="AJ7:AJ57" si="7">+COUNTIF(D7:AF7,"P")</f>
        <v>0</v>
      </c>
      <c r="AK7" s="41">
        <f>+'Chi tiết tăng ca'!AU5</f>
        <v>45</v>
      </c>
      <c r="AL7" s="41">
        <f>+'Chi tiết tăng ca'!AV5</f>
        <v>2</v>
      </c>
      <c r="AM7" s="41">
        <f t="shared" ref="AM7:AM57" si="8">+G7+U7+AB7</f>
        <v>12</v>
      </c>
      <c r="AN7" s="41">
        <f>+AK7*1.5+AL7*1.8+AM7*2</f>
        <v>95.1</v>
      </c>
      <c r="AO7" s="41">
        <f t="shared" si="5"/>
        <v>0</v>
      </c>
    </row>
    <row r="8" spans="1:44" ht="15.75" x14ac:dyDescent="0.25">
      <c r="A8" s="1" t="s">
        <v>9</v>
      </c>
      <c r="B8" s="21">
        <v>3</v>
      </c>
      <c r="C8" s="22" t="s">
        <v>41</v>
      </c>
      <c r="D8" s="23" t="s">
        <v>26</v>
      </c>
      <c r="E8" s="23" t="s">
        <v>26</v>
      </c>
      <c r="F8" s="23" t="s">
        <v>26</v>
      </c>
      <c r="G8" s="42">
        <v>4</v>
      </c>
      <c r="H8" s="23" t="s">
        <v>26</v>
      </c>
      <c r="I8" s="23" t="s">
        <v>26</v>
      </c>
      <c r="J8" s="23" t="s">
        <v>26</v>
      </c>
      <c r="K8" s="39"/>
      <c r="L8" s="39"/>
      <c r="M8" s="39"/>
      <c r="N8" s="42" t="str">
        <f t="shared" si="3"/>
        <v>CN</v>
      </c>
      <c r="O8" s="39"/>
      <c r="P8" s="39"/>
      <c r="Q8" s="23" t="s">
        <v>26</v>
      </c>
      <c r="R8" s="23" t="s">
        <v>26</v>
      </c>
      <c r="S8" s="23" t="s">
        <v>26</v>
      </c>
      <c r="T8" s="23" t="s">
        <v>26</v>
      </c>
      <c r="U8" s="42">
        <v>8</v>
      </c>
      <c r="V8" s="23" t="s">
        <v>26</v>
      </c>
      <c r="W8" s="23" t="s">
        <v>26</v>
      </c>
      <c r="X8" s="23" t="s">
        <v>26</v>
      </c>
      <c r="Y8" s="23" t="s">
        <v>26</v>
      </c>
      <c r="Z8" s="23" t="s">
        <v>26</v>
      </c>
      <c r="AA8" s="23" t="s">
        <v>26</v>
      </c>
      <c r="AB8" s="42"/>
      <c r="AC8" s="23" t="s">
        <v>26</v>
      </c>
      <c r="AD8" s="23" t="s">
        <v>26</v>
      </c>
      <c r="AE8" s="23" t="s">
        <v>26</v>
      </c>
      <c r="AF8" s="23" t="s">
        <v>26</v>
      </c>
      <c r="AG8" s="23" t="str">
        <f t="shared" si="4"/>
        <v/>
      </c>
      <c r="AH8" s="23" t="str">
        <f t="shared" si="4"/>
        <v/>
      </c>
      <c r="AI8" s="24">
        <f t="shared" si="6"/>
        <v>20</v>
      </c>
      <c r="AJ8" s="24">
        <f t="shared" si="7"/>
        <v>0</v>
      </c>
      <c r="AK8" s="41">
        <f>+'Chi tiết tăng ca'!AU6</f>
        <v>37.5</v>
      </c>
      <c r="AL8" s="41">
        <f>+'Chi tiết tăng ca'!AV6</f>
        <v>1</v>
      </c>
      <c r="AM8" s="41">
        <f t="shared" si="8"/>
        <v>12</v>
      </c>
      <c r="AN8" s="41">
        <f t="shared" ref="AN8:AN57" si="9">+AK8*1.5+AL8*1.8+AM8*2</f>
        <v>82.05</v>
      </c>
      <c r="AO8" s="41">
        <f t="shared" si="5"/>
        <v>0</v>
      </c>
    </row>
    <row r="9" spans="1:44" ht="15.75" x14ac:dyDescent="0.25">
      <c r="A9" s="1" t="s">
        <v>10</v>
      </c>
      <c r="B9" s="21">
        <v>4</v>
      </c>
      <c r="C9" s="22" t="s">
        <v>42</v>
      </c>
      <c r="D9" s="23" t="s">
        <v>26</v>
      </c>
      <c r="E9" s="23" t="s">
        <v>8</v>
      </c>
      <c r="F9" s="23" t="s">
        <v>8</v>
      </c>
      <c r="G9" s="42"/>
      <c r="H9" s="23" t="s">
        <v>8</v>
      </c>
      <c r="I9" s="23"/>
      <c r="J9" s="23"/>
      <c r="K9" s="39"/>
      <c r="L9" s="39"/>
      <c r="M9" s="39"/>
      <c r="N9" s="42" t="str">
        <f t="shared" si="3"/>
        <v>CN</v>
      </c>
      <c r="O9" s="39"/>
      <c r="P9" s="39"/>
      <c r="Q9" s="23" t="s">
        <v>26</v>
      </c>
      <c r="R9" s="23" t="s">
        <v>26</v>
      </c>
      <c r="S9" s="23" t="s">
        <v>26</v>
      </c>
      <c r="T9" s="23" t="s">
        <v>26</v>
      </c>
      <c r="U9" s="42"/>
      <c r="V9" s="23" t="s">
        <v>26</v>
      </c>
      <c r="W9" s="23" t="s">
        <v>26</v>
      </c>
      <c r="X9" s="23" t="s">
        <v>26</v>
      </c>
      <c r="Y9" s="23" t="s">
        <v>26</v>
      </c>
      <c r="Z9" s="23" t="s">
        <v>26</v>
      </c>
      <c r="AA9" s="23" t="s">
        <v>26</v>
      </c>
      <c r="AB9" s="42">
        <v>8</v>
      </c>
      <c r="AC9" s="23" t="s">
        <v>26</v>
      </c>
      <c r="AD9" s="23" t="s">
        <v>26</v>
      </c>
      <c r="AE9" s="23" t="s">
        <v>26</v>
      </c>
      <c r="AF9" s="23" t="s">
        <v>26</v>
      </c>
      <c r="AG9" s="23" t="str">
        <f t="shared" si="4"/>
        <v/>
      </c>
      <c r="AH9" s="23" t="str">
        <f t="shared" si="4"/>
        <v/>
      </c>
      <c r="AI9" s="24">
        <f t="shared" si="6"/>
        <v>15</v>
      </c>
      <c r="AJ9" s="24">
        <f t="shared" si="7"/>
        <v>3</v>
      </c>
      <c r="AK9" s="41">
        <f>+'Chi tiết tăng ca'!AU7</f>
        <v>34</v>
      </c>
      <c r="AL9" s="41">
        <f>+'Chi tiết tăng ca'!AV7</f>
        <v>0</v>
      </c>
      <c r="AM9" s="41">
        <f t="shared" si="8"/>
        <v>8</v>
      </c>
      <c r="AN9" s="41">
        <f>+AK9*1.5+AL9*1.8+AM9*2</f>
        <v>67</v>
      </c>
      <c r="AO9" s="41">
        <f t="shared" si="5"/>
        <v>0</v>
      </c>
    </row>
    <row r="10" spans="1:44" ht="15.75" x14ac:dyDescent="0.25">
      <c r="A10" s="1" t="s">
        <v>11</v>
      </c>
      <c r="B10" s="21">
        <v>5</v>
      </c>
      <c r="C10" s="22" t="s">
        <v>43</v>
      </c>
      <c r="D10" s="23" t="s">
        <v>26</v>
      </c>
      <c r="E10" s="23" t="s">
        <v>8</v>
      </c>
      <c r="F10" s="23" t="s">
        <v>26</v>
      </c>
      <c r="G10" s="42"/>
      <c r="H10" s="23" t="s">
        <v>26</v>
      </c>
      <c r="I10" s="23"/>
      <c r="J10" s="23"/>
      <c r="K10" s="39"/>
      <c r="L10" s="39"/>
      <c r="M10" s="39"/>
      <c r="N10" s="42" t="str">
        <f t="shared" si="3"/>
        <v>CN</v>
      </c>
      <c r="O10" s="39"/>
      <c r="P10" s="39"/>
      <c r="Q10" s="23"/>
      <c r="R10" s="23"/>
      <c r="S10" s="23"/>
      <c r="T10" s="23"/>
      <c r="U10" s="42"/>
      <c r="V10" s="23"/>
      <c r="W10" s="23"/>
      <c r="X10" s="23"/>
      <c r="Y10" s="23"/>
      <c r="Z10" s="23"/>
      <c r="AA10" s="23"/>
      <c r="AB10" s="42"/>
      <c r="AC10" s="23"/>
      <c r="AD10" s="23"/>
      <c r="AE10" s="23"/>
      <c r="AF10" s="23"/>
      <c r="AG10" s="23" t="str">
        <f t="shared" si="4"/>
        <v/>
      </c>
      <c r="AH10" s="23" t="str">
        <f t="shared" si="4"/>
        <v/>
      </c>
      <c r="AI10" s="24">
        <f t="shared" si="6"/>
        <v>3</v>
      </c>
      <c r="AJ10" s="24">
        <f t="shared" si="7"/>
        <v>1</v>
      </c>
      <c r="AK10" s="41">
        <f>+'Chi tiết tăng ca'!AU8</f>
        <v>1</v>
      </c>
      <c r="AL10" s="41">
        <f>+'Chi tiết tăng ca'!AV8</f>
        <v>0</v>
      </c>
      <c r="AM10" s="41">
        <f t="shared" si="8"/>
        <v>0</v>
      </c>
      <c r="AN10" s="41">
        <f t="shared" si="9"/>
        <v>1.5</v>
      </c>
      <c r="AO10" s="41">
        <f t="shared" si="5"/>
        <v>0</v>
      </c>
    </row>
    <row r="11" spans="1:44" ht="15.75" x14ac:dyDescent="0.25">
      <c r="A11" s="1" t="s">
        <v>12</v>
      </c>
      <c r="B11" s="21">
        <v>6</v>
      </c>
      <c r="C11" s="22" t="s">
        <v>44</v>
      </c>
      <c r="D11" s="23" t="s">
        <v>26</v>
      </c>
      <c r="E11" s="23" t="s">
        <v>8</v>
      </c>
      <c r="F11" s="23" t="s">
        <v>26</v>
      </c>
      <c r="G11" s="42"/>
      <c r="H11" s="23" t="s">
        <v>26</v>
      </c>
      <c r="I11" s="23"/>
      <c r="J11" s="23"/>
      <c r="K11" s="39"/>
      <c r="L11" s="39"/>
      <c r="M11" s="39"/>
      <c r="N11" s="42" t="str">
        <f t="shared" si="3"/>
        <v>CN</v>
      </c>
      <c r="O11" s="39"/>
      <c r="P11" s="39"/>
      <c r="Q11" s="23"/>
      <c r="R11" s="23"/>
      <c r="S11" s="23"/>
      <c r="T11" s="23"/>
      <c r="U11" s="42"/>
      <c r="V11" s="23"/>
      <c r="W11" s="23"/>
      <c r="X11" s="23"/>
      <c r="Y11" s="23"/>
      <c r="Z11" s="23"/>
      <c r="AA11" s="23"/>
      <c r="AB11" s="42"/>
      <c r="AC11" s="23"/>
      <c r="AD11" s="23"/>
      <c r="AE11" s="23"/>
      <c r="AF11" s="23"/>
      <c r="AG11" s="23" t="str">
        <f t="shared" si="4"/>
        <v/>
      </c>
      <c r="AH11" s="23" t="str">
        <f t="shared" si="4"/>
        <v/>
      </c>
      <c r="AI11" s="24">
        <f t="shared" si="6"/>
        <v>3</v>
      </c>
      <c r="AJ11" s="24">
        <f t="shared" si="7"/>
        <v>1</v>
      </c>
      <c r="AK11" s="41">
        <f>+'Chi tiết tăng ca'!AU9</f>
        <v>1</v>
      </c>
      <c r="AL11" s="41">
        <f>+'Chi tiết tăng ca'!AV9</f>
        <v>0</v>
      </c>
      <c r="AM11" s="41">
        <f t="shared" si="8"/>
        <v>0</v>
      </c>
      <c r="AN11" s="41">
        <f t="shared" si="9"/>
        <v>1.5</v>
      </c>
      <c r="AO11" s="41">
        <f t="shared" si="5"/>
        <v>0</v>
      </c>
    </row>
    <row r="12" spans="1:44" ht="15.75" x14ac:dyDescent="0.25">
      <c r="A12" s="1" t="s">
        <v>13</v>
      </c>
      <c r="B12" s="21">
        <v>7</v>
      </c>
      <c r="C12" s="22" t="s">
        <v>45</v>
      </c>
      <c r="D12" s="23" t="s">
        <v>26</v>
      </c>
      <c r="E12" s="23" t="s">
        <v>26</v>
      </c>
      <c r="F12" s="23" t="s">
        <v>26</v>
      </c>
      <c r="G12" s="42"/>
      <c r="H12" s="23" t="s">
        <v>26</v>
      </c>
      <c r="I12" s="23" t="s">
        <v>26</v>
      </c>
      <c r="J12" s="23" t="s">
        <v>26</v>
      </c>
      <c r="K12" s="39"/>
      <c r="L12" s="39"/>
      <c r="M12" s="39"/>
      <c r="N12" s="42" t="str">
        <f t="shared" si="3"/>
        <v>CN</v>
      </c>
      <c r="O12" s="39"/>
      <c r="P12" s="39"/>
      <c r="Q12" s="23" t="s">
        <v>26</v>
      </c>
      <c r="R12" s="23" t="s">
        <v>26</v>
      </c>
      <c r="S12" s="23" t="s">
        <v>26</v>
      </c>
      <c r="T12" s="23" t="s">
        <v>26</v>
      </c>
      <c r="U12" s="42">
        <v>8</v>
      </c>
      <c r="V12" s="23" t="s">
        <v>26</v>
      </c>
      <c r="W12" s="23" t="s">
        <v>8</v>
      </c>
      <c r="X12" s="23" t="s">
        <v>26</v>
      </c>
      <c r="Y12" s="23" t="s">
        <v>26</v>
      </c>
      <c r="Z12" s="23" t="s">
        <v>26</v>
      </c>
      <c r="AA12" s="23" t="s">
        <v>26</v>
      </c>
      <c r="AB12" s="42"/>
      <c r="AC12" s="23" t="s">
        <v>26</v>
      </c>
      <c r="AD12" s="23" t="s">
        <v>26</v>
      </c>
      <c r="AE12" s="23" t="s">
        <v>8</v>
      </c>
      <c r="AF12" s="23" t="s">
        <v>26</v>
      </c>
      <c r="AG12" s="23" t="str">
        <f t="shared" si="4"/>
        <v/>
      </c>
      <c r="AH12" s="23" t="str">
        <f t="shared" si="4"/>
        <v/>
      </c>
      <c r="AI12" s="24">
        <f t="shared" si="6"/>
        <v>18</v>
      </c>
      <c r="AJ12" s="24">
        <f t="shared" si="7"/>
        <v>2</v>
      </c>
      <c r="AK12" s="41">
        <f>+'Chi tiết tăng ca'!AU10</f>
        <v>5.5</v>
      </c>
      <c r="AL12" s="41">
        <f>+'Chi tiết tăng ca'!AV10</f>
        <v>0</v>
      </c>
      <c r="AM12" s="41">
        <f t="shared" si="8"/>
        <v>8</v>
      </c>
      <c r="AN12" s="41">
        <f t="shared" si="9"/>
        <v>24.25</v>
      </c>
      <c r="AO12" s="41">
        <f t="shared" si="5"/>
        <v>0</v>
      </c>
    </row>
    <row r="13" spans="1:44" ht="15.75" x14ac:dyDescent="0.25">
      <c r="A13" s="1" t="s">
        <v>14</v>
      </c>
      <c r="B13" s="21">
        <v>8</v>
      </c>
      <c r="C13" s="22" t="s">
        <v>46</v>
      </c>
      <c r="D13" s="23" t="s">
        <v>26</v>
      </c>
      <c r="E13" s="23" t="s">
        <v>26</v>
      </c>
      <c r="F13" s="23" t="s">
        <v>26</v>
      </c>
      <c r="G13" s="42">
        <v>8</v>
      </c>
      <c r="H13" s="27" t="s">
        <v>90</v>
      </c>
      <c r="I13" s="23" t="s">
        <v>26</v>
      </c>
      <c r="J13" s="23" t="s">
        <v>26</v>
      </c>
      <c r="K13" s="39" t="s">
        <v>89</v>
      </c>
      <c r="L13" s="39"/>
      <c r="M13" s="39"/>
      <c r="N13" s="42" t="str">
        <f t="shared" si="3"/>
        <v>CN</v>
      </c>
      <c r="O13" s="39"/>
      <c r="P13" s="39"/>
      <c r="Q13" s="23" t="s">
        <v>26</v>
      </c>
      <c r="R13" s="23" t="s">
        <v>26</v>
      </c>
      <c r="S13" s="40" t="s">
        <v>90</v>
      </c>
      <c r="T13" s="23" t="s">
        <v>26</v>
      </c>
      <c r="U13" s="42">
        <v>8</v>
      </c>
      <c r="V13" s="23" t="s">
        <v>26</v>
      </c>
      <c r="W13" s="23" t="s">
        <v>26</v>
      </c>
      <c r="X13" s="23" t="s">
        <v>26</v>
      </c>
      <c r="Y13" s="23" t="s">
        <v>26</v>
      </c>
      <c r="Z13" s="23" t="s">
        <v>26</v>
      </c>
      <c r="AA13" s="23" t="s">
        <v>26</v>
      </c>
      <c r="AB13" s="42">
        <v>8</v>
      </c>
      <c r="AC13" s="23" t="s">
        <v>26</v>
      </c>
      <c r="AD13" s="23" t="s">
        <v>26</v>
      </c>
      <c r="AE13" s="40" t="s">
        <v>90</v>
      </c>
      <c r="AF13" s="23" t="s">
        <v>26</v>
      </c>
      <c r="AG13" s="23" t="str">
        <f t="shared" si="4"/>
        <v/>
      </c>
      <c r="AH13" s="23" t="str">
        <f t="shared" si="4"/>
        <v/>
      </c>
      <c r="AI13" s="24">
        <f t="shared" si="6"/>
        <v>18.5</v>
      </c>
      <c r="AJ13" s="24">
        <f t="shared" si="7"/>
        <v>0</v>
      </c>
      <c r="AK13" s="41">
        <f>+'Chi tiết tăng ca'!AU11</f>
        <v>46</v>
      </c>
      <c r="AL13" s="41">
        <f>+'Chi tiết tăng ca'!AV11</f>
        <v>0</v>
      </c>
      <c r="AM13" s="41">
        <f t="shared" si="8"/>
        <v>24</v>
      </c>
      <c r="AN13" s="41">
        <f t="shared" si="9"/>
        <v>117</v>
      </c>
      <c r="AO13" s="41">
        <f t="shared" si="5"/>
        <v>1</v>
      </c>
    </row>
    <row r="14" spans="1:44" ht="15.75" x14ac:dyDescent="0.25">
      <c r="A14" s="1" t="s">
        <v>15</v>
      </c>
      <c r="B14" s="21">
        <v>9</v>
      </c>
      <c r="C14" s="22" t="s">
        <v>47</v>
      </c>
      <c r="D14" s="27" t="s">
        <v>90</v>
      </c>
      <c r="E14" s="23" t="s">
        <v>26</v>
      </c>
      <c r="F14" s="23" t="s">
        <v>26</v>
      </c>
      <c r="G14" s="42">
        <v>8</v>
      </c>
      <c r="H14" s="23" t="s">
        <v>26</v>
      </c>
      <c r="I14" s="23" t="s">
        <v>26</v>
      </c>
      <c r="J14" s="23" t="s">
        <v>26</v>
      </c>
      <c r="K14" s="39" t="s">
        <v>89</v>
      </c>
      <c r="L14" s="39"/>
      <c r="M14" s="39"/>
      <c r="N14" s="42" t="str">
        <f t="shared" si="3"/>
        <v>CN</v>
      </c>
      <c r="O14" s="39"/>
      <c r="P14" s="39"/>
      <c r="Q14" s="23" t="s">
        <v>26</v>
      </c>
      <c r="R14" s="23" t="s">
        <v>26</v>
      </c>
      <c r="S14" s="23" t="s">
        <v>26</v>
      </c>
      <c r="T14" s="23" t="s">
        <v>26</v>
      </c>
      <c r="U14" s="42">
        <v>8</v>
      </c>
      <c r="V14" s="23" t="s">
        <v>26</v>
      </c>
      <c r="W14" s="23" t="s">
        <v>26</v>
      </c>
      <c r="X14" s="23" t="s">
        <v>26</v>
      </c>
      <c r="Y14" s="23" t="s">
        <v>26</v>
      </c>
      <c r="Z14" s="23" t="s">
        <v>26</v>
      </c>
      <c r="AA14" s="23" t="s">
        <v>26</v>
      </c>
      <c r="AB14" s="42">
        <v>8</v>
      </c>
      <c r="AC14" s="23" t="s">
        <v>26</v>
      </c>
      <c r="AD14" s="23" t="s">
        <v>26</v>
      </c>
      <c r="AE14" s="23" t="s">
        <v>26</v>
      </c>
      <c r="AF14" s="23" t="s">
        <v>26</v>
      </c>
      <c r="AG14" s="23" t="str">
        <f t="shared" si="4"/>
        <v/>
      </c>
      <c r="AH14" s="23" t="str">
        <f t="shared" si="4"/>
        <v/>
      </c>
      <c r="AI14" s="24">
        <f t="shared" si="6"/>
        <v>19.5</v>
      </c>
      <c r="AJ14" s="24">
        <f t="shared" si="7"/>
        <v>0</v>
      </c>
      <c r="AK14" s="41">
        <f>+'Chi tiết tăng ca'!AU12</f>
        <v>54.5</v>
      </c>
      <c r="AL14" s="41">
        <f>+'Chi tiết tăng ca'!AV12</f>
        <v>3</v>
      </c>
      <c r="AM14" s="41">
        <f t="shared" si="8"/>
        <v>24</v>
      </c>
      <c r="AN14" s="41">
        <f t="shared" si="9"/>
        <v>135.15</v>
      </c>
      <c r="AO14" s="41">
        <f t="shared" si="5"/>
        <v>1</v>
      </c>
    </row>
    <row r="15" spans="1:44" ht="15.75" x14ac:dyDescent="0.25">
      <c r="A15" s="1" t="s">
        <v>16</v>
      </c>
      <c r="B15" s="21">
        <v>10</v>
      </c>
      <c r="C15" s="22" t="s">
        <v>48</v>
      </c>
      <c r="D15" s="23" t="s">
        <v>26</v>
      </c>
      <c r="E15" s="23" t="s">
        <v>26</v>
      </c>
      <c r="F15" s="23" t="s">
        <v>26</v>
      </c>
      <c r="G15" s="42">
        <v>8</v>
      </c>
      <c r="H15" s="23" t="s">
        <v>26</v>
      </c>
      <c r="I15" s="23" t="s">
        <v>26</v>
      </c>
      <c r="J15" s="23" t="s">
        <v>26</v>
      </c>
      <c r="K15" s="39" t="s">
        <v>89</v>
      </c>
      <c r="L15" s="39"/>
      <c r="M15" s="39"/>
      <c r="N15" s="42" t="str">
        <f t="shared" si="3"/>
        <v>CN</v>
      </c>
      <c r="O15" s="39"/>
      <c r="P15" s="39"/>
      <c r="Q15" s="23" t="s">
        <v>26</v>
      </c>
      <c r="R15" s="23" t="s">
        <v>26</v>
      </c>
      <c r="S15" s="23" t="s">
        <v>26</v>
      </c>
      <c r="T15" s="23" t="s">
        <v>26</v>
      </c>
      <c r="U15" s="42">
        <v>8</v>
      </c>
      <c r="V15" s="23" t="s">
        <v>26</v>
      </c>
      <c r="W15" s="23" t="s">
        <v>26</v>
      </c>
      <c r="X15" s="23" t="s">
        <v>26</v>
      </c>
      <c r="Y15" s="23" t="s">
        <v>26</v>
      </c>
      <c r="Z15" s="23" t="s">
        <v>26</v>
      </c>
      <c r="AA15" s="23" t="s">
        <v>26</v>
      </c>
      <c r="AB15" s="42">
        <v>8</v>
      </c>
      <c r="AC15" s="23" t="s">
        <v>26</v>
      </c>
      <c r="AD15" s="23" t="s">
        <v>26</v>
      </c>
      <c r="AE15" s="23" t="s">
        <v>26</v>
      </c>
      <c r="AF15" s="23" t="s">
        <v>26</v>
      </c>
      <c r="AG15" s="23" t="str">
        <f t="shared" si="4"/>
        <v/>
      </c>
      <c r="AH15" s="23" t="str">
        <f t="shared" si="4"/>
        <v/>
      </c>
      <c r="AI15" s="24">
        <f t="shared" si="6"/>
        <v>20</v>
      </c>
      <c r="AJ15" s="24">
        <f t="shared" si="7"/>
        <v>0</v>
      </c>
      <c r="AK15" s="41">
        <f>+'Chi tiết tăng ca'!AU13</f>
        <v>67</v>
      </c>
      <c r="AL15" s="41">
        <f>+'Chi tiết tăng ca'!AV13</f>
        <v>4</v>
      </c>
      <c r="AM15" s="41">
        <f t="shared" si="8"/>
        <v>24</v>
      </c>
      <c r="AN15" s="41">
        <f t="shared" si="9"/>
        <v>155.69999999999999</v>
      </c>
      <c r="AO15" s="41">
        <f t="shared" si="5"/>
        <v>1</v>
      </c>
    </row>
    <row r="16" spans="1:44" ht="15.75" x14ac:dyDescent="0.25">
      <c r="B16" s="21">
        <v>11</v>
      </c>
      <c r="C16" s="22" t="s">
        <v>49</v>
      </c>
      <c r="D16" s="23" t="s">
        <v>26</v>
      </c>
      <c r="E16" s="23" t="s">
        <v>26</v>
      </c>
      <c r="F16" s="23" t="s">
        <v>26</v>
      </c>
      <c r="G16" s="42">
        <v>8</v>
      </c>
      <c r="H16" s="23" t="s">
        <v>26</v>
      </c>
      <c r="I16" s="23" t="s">
        <v>26</v>
      </c>
      <c r="J16" s="23" t="s">
        <v>26</v>
      </c>
      <c r="K16" s="39" t="s">
        <v>89</v>
      </c>
      <c r="L16" s="39"/>
      <c r="M16" s="39"/>
      <c r="N16" s="42" t="str">
        <f t="shared" si="3"/>
        <v>CN</v>
      </c>
      <c r="O16" s="39"/>
      <c r="P16" s="39"/>
      <c r="Q16" s="23" t="s">
        <v>26</v>
      </c>
      <c r="R16" s="23" t="s">
        <v>26</v>
      </c>
      <c r="S16" s="23" t="s">
        <v>26</v>
      </c>
      <c r="T16" s="23" t="s">
        <v>26</v>
      </c>
      <c r="U16" s="42"/>
      <c r="V16" s="23" t="s">
        <v>26</v>
      </c>
      <c r="W16" s="23" t="s">
        <v>26</v>
      </c>
      <c r="X16" s="23" t="s">
        <v>26</v>
      </c>
      <c r="Y16" s="23" t="s">
        <v>26</v>
      </c>
      <c r="Z16" s="23" t="s">
        <v>26</v>
      </c>
      <c r="AA16" s="23" t="s">
        <v>26</v>
      </c>
      <c r="AB16" s="42">
        <v>8</v>
      </c>
      <c r="AC16" s="23" t="s">
        <v>26</v>
      </c>
      <c r="AD16" s="23" t="s">
        <v>26</v>
      </c>
      <c r="AE16" s="23" t="s">
        <v>26</v>
      </c>
      <c r="AF16" s="23" t="s">
        <v>26</v>
      </c>
      <c r="AG16" s="23" t="str">
        <f t="shared" si="4"/>
        <v/>
      </c>
      <c r="AH16" s="23" t="str">
        <f t="shared" si="4"/>
        <v/>
      </c>
      <c r="AI16" s="24">
        <f t="shared" si="6"/>
        <v>20</v>
      </c>
      <c r="AJ16" s="24">
        <f t="shared" si="7"/>
        <v>0</v>
      </c>
      <c r="AK16" s="41">
        <f>+'Chi tiết tăng ca'!AU14</f>
        <v>47.5</v>
      </c>
      <c r="AL16" s="41">
        <f>+'Chi tiết tăng ca'!AV14</f>
        <v>2</v>
      </c>
      <c r="AM16" s="41">
        <f t="shared" si="8"/>
        <v>16</v>
      </c>
      <c r="AN16" s="41">
        <f t="shared" si="9"/>
        <v>106.85</v>
      </c>
      <c r="AO16" s="41">
        <f t="shared" si="5"/>
        <v>1</v>
      </c>
    </row>
    <row r="17" spans="1:41" ht="15.75" x14ac:dyDescent="0.25">
      <c r="A17" s="1" t="s">
        <v>17</v>
      </c>
      <c r="B17" s="21">
        <v>12</v>
      </c>
      <c r="C17" s="22" t="s">
        <v>50</v>
      </c>
      <c r="D17" s="23" t="s">
        <v>26</v>
      </c>
      <c r="E17" s="23" t="s">
        <v>26</v>
      </c>
      <c r="F17" s="23" t="s">
        <v>26</v>
      </c>
      <c r="G17" s="42">
        <v>8</v>
      </c>
      <c r="H17" s="23" t="s">
        <v>26</v>
      </c>
      <c r="I17" s="23" t="s">
        <v>26</v>
      </c>
      <c r="J17" s="23" t="s">
        <v>26</v>
      </c>
      <c r="K17" s="39" t="s">
        <v>89</v>
      </c>
      <c r="L17" s="39"/>
      <c r="M17" s="39"/>
      <c r="N17" s="42" t="str">
        <f t="shared" si="3"/>
        <v>CN</v>
      </c>
      <c r="O17" s="39"/>
      <c r="P17" s="39"/>
      <c r="Q17" s="23" t="s">
        <v>26</v>
      </c>
      <c r="R17" s="23" t="s">
        <v>26</v>
      </c>
      <c r="S17" s="23" t="s">
        <v>26</v>
      </c>
      <c r="T17" s="23" t="s">
        <v>26</v>
      </c>
      <c r="U17" s="42"/>
      <c r="V17" s="23" t="s">
        <v>26</v>
      </c>
      <c r="W17" s="23" t="s">
        <v>26</v>
      </c>
      <c r="X17" s="23" t="s">
        <v>26</v>
      </c>
      <c r="Y17" s="23" t="s">
        <v>8</v>
      </c>
      <c r="Z17" s="23" t="s">
        <v>26</v>
      </c>
      <c r="AA17" s="23" t="s">
        <v>26</v>
      </c>
      <c r="AB17" s="42">
        <v>8</v>
      </c>
      <c r="AC17" s="23" t="s">
        <v>26</v>
      </c>
      <c r="AD17" s="23" t="s">
        <v>26</v>
      </c>
      <c r="AE17" s="23" t="s">
        <v>26</v>
      </c>
      <c r="AF17" s="23" t="s">
        <v>26</v>
      </c>
      <c r="AG17" s="23" t="str">
        <f t="shared" si="4"/>
        <v/>
      </c>
      <c r="AH17" s="23" t="str">
        <f t="shared" si="4"/>
        <v/>
      </c>
      <c r="AI17" s="24">
        <f t="shared" si="6"/>
        <v>19</v>
      </c>
      <c r="AJ17" s="24">
        <f t="shared" si="7"/>
        <v>1</v>
      </c>
      <c r="AK17" s="41">
        <f>+'Chi tiết tăng ca'!AU15</f>
        <v>61.5</v>
      </c>
      <c r="AL17" s="41">
        <f>+'Chi tiết tăng ca'!AV15</f>
        <v>5</v>
      </c>
      <c r="AM17" s="41">
        <f t="shared" si="8"/>
        <v>16</v>
      </c>
      <c r="AN17" s="41">
        <f t="shared" si="9"/>
        <v>133.25</v>
      </c>
      <c r="AO17" s="41">
        <f t="shared" si="5"/>
        <v>1</v>
      </c>
    </row>
    <row r="18" spans="1:41" ht="15.75" x14ac:dyDescent="0.25">
      <c r="A18" s="1" t="s">
        <v>18</v>
      </c>
      <c r="B18" s="21">
        <v>13</v>
      </c>
      <c r="C18" s="22" t="s">
        <v>51</v>
      </c>
      <c r="D18" s="23"/>
      <c r="E18" s="23" t="s">
        <v>26</v>
      </c>
      <c r="F18" s="23" t="s">
        <v>26</v>
      </c>
      <c r="G18" s="42">
        <v>8</v>
      </c>
      <c r="H18" s="23" t="s">
        <v>26</v>
      </c>
      <c r="I18" s="23" t="s">
        <v>26</v>
      </c>
      <c r="J18" s="23" t="s">
        <v>26</v>
      </c>
      <c r="K18" s="39"/>
      <c r="L18" s="39"/>
      <c r="M18" s="39"/>
      <c r="N18" s="42" t="str">
        <f t="shared" si="3"/>
        <v>CN</v>
      </c>
      <c r="O18" s="39"/>
      <c r="P18" s="39"/>
      <c r="Q18" s="23" t="s">
        <v>26</v>
      </c>
      <c r="R18" s="23" t="s">
        <v>26</v>
      </c>
      <c r="S18" s="23" t="s">
        <v>26</v>
      </c>
      <c r="T18" s="23" t="s">
        <v>26</v>
      </c>
      <c r="U18" s="42"/>
      <c r="V18" s="23" t="s">
        <v>26</v>
      </c>
      <c r="W18" s="23" t="s">
        <v>26</v>
      </c>
      <c r="X18" s="23" t="s">
        <v>26</v>
      </c>
      <c r="Y18" s="23" t="s">
        <v>8</v>
      </c>
      <c r="Z18" s="23" t="s">
        <v>26</v>
      </c>
      <c r="AA18" s="23" t="s">
        <v>26</v>
      </c>
      <c r="AB18" s="42">
        <v>8</v>
      </c>
      <c r="AC18" s="23" t="s">
        <v>26</v>
      </c>
      <c r="AD18" s="23" t="s">
        <v>26</v>
      </c>
      <c r="AE18" s="23" t="s">
        <v>26</v>
      </c>
      <c r="AF18" s="23" t="s">
        <v>26</v>
      </c>
      <c r="AG18" s="23" t="str">
        <f t="shared" ref="AG18:AH34" si="10">IF(OR(AG$3="",$C18=""),"",IF(WEEKDAY(AG$3,2)&gt;6,"CN","x"))</f>
        <v/>
      </c>
      <c r="AH18" s="23" t="str">
        <f t="shared" si="10"/>
        <v/>
      </c>
      <c r="AI18" s="24">
        <f t="shared" si="6"/>
        <v>18</v>
      </c>
      <c r="AJ18" s="24">
        <f t="shared" si="7"/>
        <v>1</v>
      </c>
      <c r="AK18" s="41">
        <f>+'Chi tiết tăng ca'!AU16</f>
        <v>48.5</v>
      </c>
      <c r="AL18" s="41">
        <f>+'Chi tiết tăng ca'!AV16</f>
        <v>4.5</v>
      </c>
      <c r="AM18" s="41">
        <f t="shared" si="8"/>
        <v>16</v>
      </c>
      <c r="AN18" s="41">
        <f t="shared" si="9"/>
        <v>112.85</v>
      </c>
      <c r="AO18" s="41">
        <f t="shared" si="5"/>
        <v>0</v>
      </c>
    </row>
    <row r="19" spans="1:41" ht="15.75" x14ac:dyDescent="0.25">
      <c r="B19" s="21">
        <v>14</v>
      </c>
      <c r="C19" s="22" t="s">
        <v>52</v>
      </c>
      <c r="D19" s="23" t="s">
        <v>26</v>
      </c>
      <c r="E19" s="23" t="s">
        <v>26</v>
      </c>
      <c r="F19" s="23" t="s">
        <v>26</v>
      </c>
      <c r="G19" s="42">
        <v>8</v>
      </c>
      <c r="H19" s="23" t="s">
        <v>26</v>
      </c>
      <c r="I19" s="23" t="s">
        <v>26</v>
      </c>
      <c r="J19" s="23" t="s">
        <v>26</v>
      </c>
      <c r="K19" s="39" t="s">
        <v>89</v>
      </c>
      <c r="L19" s="39"/>
      <c r="M19" s="39"/>
      <c r="N19" s="42" t="str">
        <f t="shared" si="3"/>
        <v>CN</v>
      </c>
      <c r="O19" s="39"/>
      <c r="P19" s="39"/>
      <c r="Q19" s="23" t="s">
        <v>26</v>
      </c>
      <c r="R19" s="23" t="s">
        <v>26</v>
      </c>
      <c r="S19" s="23" t="s">
        <v>26</v>
      </c>
      <c r="T19" s="23" t="s">
        <v>26</v>
      </c>
      <c r="U19" s="42">
        <v>8</v>
      </c>
      <c r="V19" s="23" t="s">
        <v>26</v>
      </c>
      <c r="W19" s="23" t="s">
        <v>26</v>
      </c>
      <c r="X19" s="23" t="s">
        <v>26</v>
      </c>
      <c r="Y19" s="23" t="s">
        <v>26</v>
      </c>
      <c r="Z19" s="23" t="s">
        <v>26</v>
      </c>
      <c r="AA19" s="23" t="s">
        <v>26</v>
      </c>
      <c r="AB19" s="42">
        <v>8</v>
      </c>
      <c r="AC19" s="23" t="s">
        <v>26</v>
      </c>
      <c r="AD19" s="23" t="s">
        <v>26</v>
      </c>
      <c r="AE19" s="23" t="s">
        <v>26</v>
      </c>
      <c r="AF19" s="23" t="s">
        <v>26</v>
      </c>
      <c r="AG19" s="23" t="str">
        <f t="shared" si="10"/>
        <v/>
      </c>
      <c r="AH19" s="23" t="str">
        <f t="shared" si="10"/>
        <v/>
      </c>
      <c r="AI19" s="24">
        <f t="shared" si="6"/>
        <v>20</v>
      </c>
      <c r="AJ19" s="24">
        <f t="shared" si="7"/>
        <v>0</v>
      </c>
      <c r="AK19" s="41">
        <f>+'Chi tiết tăng ca'!AU17</f>
        <v>50</v>
      </c>
      <c r="AL19" s="41">
        <f>+'Chi tiết tăng ca'!AV17</f>
        <v>0</v>
      </c>
      <c r="AM19" s="41">
        <f t="shared" si="8"/>
        <v>24</v>
      </c>
      <c r="AN19" s="41">
        <f t="shared" si="9"/>
        <v>123</v>
      </c>
      <c r="AO19" s="41">
        <f t="shared" si="5"/>
        <v>1</v>
      </c>
    </row>
    <row r="20" spans="1:41" ht="15.75" x14ac:dyDescent="0.25">
      <c r="B20" s="21">
        <v>15</v>
      </c>
      <c r="C20" s="22" t="s">
        <v>53</v>
      </c>
      <c r="D20" s="23" t="s">
        <v>26</v>
      </c>
      <c r="E20" s="23" t="s">
        <v>26</v>
      </c>
      <c r="F20" s="23" t="s">
        <v>26</v>
      </c>
      <c r="G20" s="42"/>
      <c r="H20" s="23" t="s">
        <v>26</v>
      </c>
      <c r="I20" s="23" t="s">
        <v>26</v>
      </c>
      <c r="J20" s="40" t="s">
        <v>90</v>
      </c>
      <c r="K20" s="39"/>
      <c r="L20" s="39"/>
      <c r="M20" s="39"/>
      <c r="N20" s="42" t="str">
        <f t="shared" si="3"/>
        <v>CN</v>
      </c>
      <c r="O20" s="39"/>
      <c r="P20" s="39"/>
      <c r="Q20" s="23" t="s">
        <v>26</v>
      </c>
      <c r="R20" s="23" t="s">
        <v>26</v>
      </c>
      <c r="S20" s="23" t="s">
        <v>26</v>
      </c>
      <c r="T20" s="23" t="s">
        <v>26</v>
      </c>
      <c r="U20" s="42"/>
      <c r="V20" s="23" t="s">
        <v>26</v>
      </c>
      <c r="W20" s="23" t="s">
        <v>26</v>
      </c>
      <c r="X20" s="23" t="s">
        <v>26</v>
      </c>
      <c r="Y20" s="23" t="s">
        <v>26</v>
      </c>
      <c r="Z20" s="23" t="s">
        <v>26</v>
      </c>
      <c r="AA20" s="23" t="s">
        <v>26</v>
      </c>
      <c r="AB20" s="42"/>
      <c r="AC20" s="23" t="s">
        <v>26</v>
      </c>
      <c r="AD20" s="23" t="s">
        <v>26</v>
      </c>
      <c r="AE20" s="23" t="s">
        <v>26</v>
      </c>
      <c r="AF20" s="23"/>
      <c r="AG20" s="23" t="str">
        <f t="shared" si="10"/>
        <v/>
      </c>
      <c r="AH20" s="23" t="str">
        <f t="shared" si="10"/>
        <v/>
      </c>
      <c r="AI20" s="24">
        <f t="shared" si="6"/>
        <v>18.5</v>
      </c>
      <c r="AJ20" s="24">
        <f t="shared" si="7"/>
        <v>0</v>
      </c>
      <c r="AK20" s="41">
        <f>+'Chi tiết tăng ca'!AU18</f>
        <v>15</v>
      </c>
      <c r="AL20" s="41">
        <f>+'Chi tiết tăng ca'!AV18</f>
        <v>0</v>
      </c>
      <c r="AM20" s="41">
        <f t="shared" si="8"/>
        <v>0</v>
      </c>
      <c r="AN20" s="41">
        <f t="shared" si="9"/>
        <v>22.5</v>
      </c>
      <c r="AO20" s="41">
        <f t="shared" si="5"/>
        <v>0</v>
      </c>
    </row>
    <row r="21" spans="1:41" ht="15.75" x14ac:dyDescent="0.25">
      <c r="B21" s="21">
        <v>16</v>
      </c>
      <c r="C21" s="22" t="s">
        <v>54</v>
      </c>
      <c r="D21" s="23" t="s">
        <v>26</v>
      </c>
      <c r="E21" s="23" t="s">
        <v>26</v>
      </c>
      <c r="F21" s="23" t="s">
        <v>26</v>
      </c>
      <c r="G21" s="42">
        <v>9.5</v>
      </c>
      <c r="H21" s="23" t="s">
        <v>26</v>
      </c>
      <c r="I21" s="40" t="s">
        <v>90</v>
      </c>
      <c r="J21" s="23" t="s">
        <v>26</v>
      </c>
      <c r="K21" s="39" t="s">
        <v>89</v>
      </c>
      <c r="L21" s="39"/>
      <c r="M21" s="39"/>
      <c r="N21" s="42" t="str">
        <f t="shared" si="3"/>
        <v>CN</v>
      </c>
      <c r="O21" s="39"/>
      <c r="P21" s="39"/>
      <c r="Q21" s="23" t="s">
        <v>8</v>
      </c>
      <c r="R21" s="23" t="s">
        <v>8</v>
      </c>
      <c r="S21" s="23" t="s">
        <v>8</v>
      </c>
      <c r="T21" s="23" t="s">
        <v>8</v>
      </c>
      <c r="U21" s="42"/>
      <c r="V21" s="23" t="s">
        <v>8</v>
      </c>
      <c r="W21" s="23" t="s">
        <v>8</v>
      </c>
      <c r="X21" s="23" t="s">
        <v>8</v>
      </c>
      <c r="Y21" s="23" t="s">
        <v>8</v>
      </c>
      <c r="Z21" s="23" t="s">
        <v>8</v>
      </c>
      <c r="AA21" s="23" t="s">
        <v>26</v>
      </c>
      <c r="AB21" s="42">
        <v>8</v>
      </c>
      <c r="AC21" s="23" t="s">
        <v>26</v>
      </c>
      <c r="AD21" s="23" t="s">
        <v>26</v>
      </c>
      <c r="AE21" s="23" t="s">
        <v>26</v>
      </c>
      <c r="AF21" s="23" t="s">
        <v>26</v>
      </c>
      <c r="AG21" s="23" t="str">
        <f t="shared" si="10"/>
        <v/>
      </c>
      <c r="AH21" s="23" t="str">
        <f t="shared" si="10"/>
        <v/>
      </c>
      <c r="AI21" s="24">
        <f t="shared" si="6"/>
        <v>10.5</v>
      </c>
      <c r="AJ21" s="24">
        <f t="shared" si="7"/>
        <v>9</v>
      </c>
      <c r="AK21" s="41">
        <f>+'Chi tiết tăng ca'!AU19</f>
        <v>38.5</v>
      </c>
      <c r="AL21" s="41">
        <f>+'Chi tiết tăng ca'!AV19</f>
        <v>3.5</v>
      </c>
      <c r="AM21" s="41">
        <f t="shared" si="8"/>
        <v>17.5</v>
      </c>
      <c r="AN21" s="41">
        <f t="shared" si="9"/>
        <v>99.05</v>
      </c>
      <c r="AO21" s="41">
        <f t="shared" si="5"/>
        <v>1</v>
      </c>
    </row>
    <row r="22" spans="1:41" ht="15.75" x14ac:dyDescent="0.25">
      <c r="A22" s="1" t="s">
        <v>19</v>
      </c>
      <c r="B22" s="21">
        <v>17</v>
      </c>
      <c r="C22" s="22" t="s">
        <v>55</v>
      </c>
      <c r="D22" s="23" t="s">
        <v>26</v>
      </c>
      <c r="E22" s="27" t="s">
        <v>90</v>
      </c>
      <c r="F22" s="23"/>
      <c r="G22" s="42"/>
      <c r="H22" s="23"/>
      <c r="I22" s="23"/>
      <c r="J22" s="23"/>
      <c r="K22" s="39"/>
      <c r="L22" s="39"/>
      <c r="M22" s="39"/>
      <c r="N22" s="42" t="str">
        <f t="shared" ref="N22:N63" si="11">IF(OR(N$3="",$C22=""),"",IF(WEEKDAY(N$3,2)&gt;6,"CN","x"))</f>
        <v>CN</v>
      </c>
      <c r="O22" s="39"/>
      <c r="P22" s="39"/>
      <c r="Q22" s="23"/>
      <c r="R22" s="23"/>
      <c r="S22" s="23"/>
      <c r="T22" s="23"/>
      <c r="U22" s="42"/>
      <c r="V22" s="23"/>
      <c r="W22" s="23"/>
      <c r="X22" s="23"/>
      <c r="Y22" s="23"/>
      <c r="Z22" s="23"/>
      <c r="AA22" s="23"/>
      <c r="AB22" s="42"/>
      <c r="AC22" s="23"/>
      <c r="AD22" s="23"/>
      <c r="AE22" s="23"/>
      <c r="AF22" s="23"/>
      <c r="AG22" s="23" t="str">
        <f t="shared" si="10"/>
        <v/>
      </c>
      <c r="AH22" s="23" t="str">
        <f t="shared" si="10"/>
        <v/>
      </c>
      <c r="AI22" s="24">
        <f t="shared" si="6"/>
        <v>1.5</v>
      </c>
      <c r="AJ22" s="24">
        <f t="shared" si="7"/>
        <v>0</v>
      </c>
      <c r="AK22" s="41">
        <f>+'Chi tiết tăng ca'!AU20</f>
        <v>0</v>
      </c>
      <c r="AL22" s="41">
        <f>+'Chi tiết tăng ca'!AV20</f>
        <v>0</v>
      </c>
      <c r="AM22" s="41">
        <f t="shared" si="8"/>
        <v>0</v>
      </c>
      <c r="AN22" s="41">
        <f t="shared" si="9"/>
        <v>0</v>
      </c>
      <c r="AO22" s="41">
        <f t="shared" si="5"/>
        <v>0</v>
      </c>
    </row>
    <row r="23" spans="1:41" ht="15.75" x14ac:dyDescent="0.25">
      <c r="B23" s="21">
        <v>18</v>
      </c>
      <c r="C23" s="22" t="s">
        <v>56</v>
      </c>
      <c r="D23" s="23" t="s">
        <v>26</v>
      </c>
      <c r="E23" s="23" t="s">
        <v>26</v>
      </c>
      <c r="F23" s="23" t="s">
        <v>26</v>
      </c>
      <c r="G23" s="42"/>
      <c r="H23" s="23"/>
      <c r="I23" s="23"/>
      <c r="J23" s="23"/>
      <c r="K23" s="39"/>
      <c r="L23" s="39"/>
      <c r="M23" s="39"/>
      <c r="N23" s="42" t="str">
        <f t="shared" si="11"/>
        <v>CN</v>
      </c>
      <c r="O23" s="39"/>
      <c r="P23" s="39"/>
      <c r="Q23" s="23"/>
      <c r="R23" s="23"/>
      <c r="S23" s="23"/>
      <c r="T23" s="23"/>
      <c r="U23" s="42"/>
      <c r="V23" s="23"/>
      <c r="W23" s="23"/>
      <c r="X23" s="23"/>
      <c r="Y23" s="23"/>
      <c r="Z23" s="23"/>
      <c r="AA23" s="23"/>
      <c r="AB23" s="42"/>
      <c r="AC23" s="23"/>
      <c r="AD23" s="23"/>
      <c r="AE23" s="23"/>
      <c r="AF23" s="23"/>
      <c r="AG23" s="23" t="str">
        <f t="shared" si="10"/>
        <v/>
      </c>
      <c r="AH23" s="23" t="str">
        <f t="shared" si="10"/>
        <v/>
      </c>
      <c r="AI23" s="24">
        <f t="shared" si="6"/>
        <v>3</v>
      </c>
      <c r="AJ23" s="24">
        <f t="shared" si="7"/>
        <v>0</v>
      </c>
      <c r="AK23" s="41">
        <f>+'Chi tiết tăng ca'!AU21</f>
        <v>2</v>
      </c>
      <c r="AL23" s="41">
        <f>+'Chi tiết tăng ca'!AV21</f>
        <v>0</v>
      </c>
      <c r="AM23" s="41">
        <f t="shared" si="8"/>
        <v>0</v>
      </c>
      <c r="AN23" s="41">
        <f t="shared" si="9"/>
        <v>3</v>
      </c>
      <c r="AO23" s="41">
        <f t="shared" si="5"/>
        <v>0</v>
      </c>
    </row>
    <row r="24" spans="1:41" x14ac:dyDescent="0.25">
      <c r="A24" s="1" t="s">
        <v>20</v>
      </c>
      <c r="B24" s="21">
        <v>19</v>
      </c>
      <c r="C24" s="28" t="s">
        <v>57</v>
      </c>
      <c r="D24" s="23" t="s">
        <v>26</v>
      </c>
      <c r="E24" s="40" t="s">
        <v>90</v>
      </c>
      <c r="F24" s="23" t="s">
        <v>26</v>
      </c>
      <c r="G24" s="42"/>
      <c r="H24" s="23" t="s">
        <v>26</v>
      </c>
      <c r="I24" s="23"/>
      <c r="J24" s="23"/>
      <c r="K24" s="39"/>
      <c r="L24" s="39"/>
      <c r="M24" s="39"/>
      <c r="N24" s="42" t="str">
        <f t="shared" si="11"/>
        <v>CN</v>
      </c>
      <c r="O24" s="39"/>
      <c r="P24" s="39"/>
      <c r="Q24" s="23"/>
      <c r="R24" s="23"/>
      <c r="S24" s="23"/>
      <c r="T24" s="23"/>
      <c r="U24" s="42"/>
      <c r="V24" s="23"/>
      <c r="W24" s="23"/>
      <c r="X24" s="23"/>
      <c r="Y24" s="23"/>
      <c r="Z24" s="23"/>
      <c r="AA24" s="23"/>
      <c r="AB24" s="42"/>
      <c r="AC24" s="23"/>
      <c r="AD24" s="23"/>
      <c r="AE24" s="23"/>
      <c r="AF24" s="23"/>
      <c r="AG24" s="23" t="str">
        <f t="shared" si="10"/>
        <v/>
      </c>
      <c r="AH24" s="23" t="str">
        <f t="shared" si="10"/>
        <v/>
      </c>
      <c r="AI24" s="24">
        <f t="shared" si="6"/>
        <v>3.5</v>
      </c>
      <c r="AJ24" s="24">
        <f t="shared" si="7"/>
        <v>0</v>
      </c>
      <c r="AK24" s="41">
        <f>+'Chi tiết tăng ca'!AU22</f>
        <v>1.5</v>
      </c>
      <c r="AL24" s="41">
        <f>+'Chi tiết tăng ca'!AV22</f>
        <v>0</v>
      </c>
      <c r="AM24" s="41">
        <f t="shared" si="8"/>
        <v>0</v>
      </c>
      <c r="AN24" s="41">
        <f t="shared" si="9"/>
        <v>2.25</v>
      </c>
      <c r="AO24" s="41">
        <f t="shared" si="5"/>
        <v>0</v>
      </c>
    </row>
    <row r="25" spans="1:41" x14ac:dyDescent="0.25">
      <c r="A25" s="1" t="s">
        <v>21</v>
      </c>
      <c r="B25" s="21">
        <v>20</v>
      </c>
      <c r="C25" s="28" t="s">
        <v>58</v>
      </c>
      <c r="D25" s="23"/>
      <c r="E25" s="23"/>
      <c r="F25" s="23"/>
      <c r="G25" s="42"/>
      <c r="H25" s="23"/>
      <c r="I25" s="23"/>
      <c r="J25" s="23"/>
      <c r="K25" s="39"/>
      <c r="L25" s="39"/>
      <c r="M25" s="39"/>
      <c r="N25" s="42" t="str">
        <f t="shared" si="11"/>
        <v>CN</v>
      </c>
      <c r="O25" s="39"/>
      <c r="P25" s="39"/>
      <c r="Q25" s="23"/>
      <c r="R25" s="23" t="s">
        <v>26</v>
      </c>
      <c r="S25" s="23" t="s">
        <v>26</v>
      </c>
      <c r="T25" s="23" t="s">
        <v>26</v>
      </c>
      <c r="U25" s="42">
        <v>8</v>
      </c>
      <c r="V25" s="23" t="s">
        <v>26</v>
      </c>
      <c r="W25" s="23" t="s">
        <v>26</v>
      </c>
      <c r="X25" s="23" t="s">
        <v>26</v>
      </c>
      <c r="Y25" s="23" t="s">
        <v>26</v>
      </c>
      <c r="Z25" s="23" t="s">
        <v>26</v>
      </c>
      <c r="AA25" s="23" t="s">
        <v>26</v>
      </c>
      <c r="AB25" s="42">
        <v>8</v>
      </c>
      <c r="AC25" s="23" t="s">
        <v>26</v>
      </c>
      <c r="AD25" s="23" t="s">
        <v>26</v>
      </c>
      <c r="AE25" s="23" t="s">
        <v>26</v>
      </c>
      <c r="AF25" s="23" t="s">
        <v>26</v>
      </c>
      <c r="AG25" s="23" t="str">
        <f t="shared" si="10"/>
        <v/>
      </c>
      <c r="AH25" s="23" t="str">
        <f t="shared" si="10"/>
        <v/>
      </c>
      <c r="AI25" s="24">
        <f t="shared" si="6"/>
        <v>13</v>
      </c>
      <c r="AJ25" s="24">
        <f t="shared" si="7"/>
        <v>0</v>
      </c>
      <c r="AK25" s="41">
        <f>+'Chi tiết tăng ca'!AU23</f>
        <v>31.5</v>
      </c>
      <c r="AL25" s="41">
        <f>+'Chi tiết tăng ca'!AV23</f>
        <v>0</v>
      </c>
      <c r="AM25" s="41">
        <f t="shared" si="8"/>
        <v>16</v>
      </c>
      <c r="AN25" s="41">
        <f t="shared" si="9"/>
        <v>79.25</v>
      </c>
      <c r="AO25" s="41">
        <f t="shared" si="5"/>
        <v>0</v>
      </c>
    </row>
    <row r="26" spans="1:41" x14ac:dyDescent="0.25">
      <c r="A26" s="1" t="s">
        <v>22</v>
      </c>
      <c r="B26" s="21">
        <v>21</v>
      </c>
      <c r="C26" s="28" t="s">
        <v>59</v>
      </c>
      <c r="D26" s="23"/>
      <c r="E26" s="23"/>
      <c r="F26" s="23"/>
      <c r="G26" s="42"/>
      <c r="H26" s="23"/>
      <c r="I26" s="23"/>
      <c r="J26" s="23"/>
      <c r="K26" s="39"/>
      <c r="L26" s="39"/>
      <c r="M26" s="39"/>
      <c r="N26" s="42" t="str">
        <f t="shared" si="11"/>
        <v>CN</v>
      </c>
      <c r="O26" s="39"/>
      <c r="P26" s="39"/>
      <c r="Q26" s="23"/>
      <c r="R26" s="23" t="s">
        <v>26</v>
      </c>
      <c r="S26" s="23" t="s">
        <v>26</v>
      </c>
      <c r="T26" s="23" t="s">
        <v>26</v>
      </c>
      <c r="U26" s="42">
        <v>8</v>
      </c>
      <c r="V26" s="23" t="s">
        <v>26</v>
      </c>
      <c r="W26" s="23" t="s">
        <v>26</v>
      </c>
      <c r="X26" s="23" t="s">
        <v>26</v>
      </c>
      <c r="Y26" s="23" t="s">
        <v>26</v>
      </c>
      <c r="Z26" s="23" t="s">
        <v>26</v>
      </c>
      <c r="AA26" s="23" t="s">
        <v>26</v>
      </c>
      <c r="AB26" s="42">
        <v>8</v>
      </c>
      <c r="AC26" s="23" t="s">
        <v>26</v>
      </c>
      <c r="AD26" s="23" t="s">
        <v>26</v>
      </c>
      <c r="AE26" s="23" t="s">
        <v>26</v>
      </c>
      <c r="AF26" s="23" t="s">
        <v>26</v>
      </c>
      <c r="AG26" s="23" t="str">
        <f t="shared" si="10"/>
        <v/>
      </c>
      <c r="AH26" s="23" t="str">
        <f t="shared" si="10"/>
        <v/>
      </c>
      <c r="AI26" s="24">
        <f t="shared" si="6"/>
        <v>13</v>
      </c>
      <c r="AJ26" s="24">
        <f t="shared" si="7"/>
        <v>0</v>
      </c>
      <c r="AK26" s="41">
        <f>+'Chi tiết tăng ca'!AU24</f>
        <v>31.5</v>
      </c>
      <c r="AL26" s="41">
        <f>+'Chi tiết tăng ca'!AV24</f>
        <v>0</v>
      </c>
      <c r="AM26" s="41">
        <f t="shared" si="8"/>
        <v>16</v>
      </c>
      <c r="AN26" s="41">
        <f t="shared" si="9"/>
        <v>79.25</v>
      </c>
      <c r="AO26" s="41">
        <f t="shared" si="5"/>
        <v>0</v>
      </c>
    </row>
    <row r="27" spans="1:41" x14ac:dyDescent="0.25">
      <c r="A27" s="1" t="s">
        <v>23</v>
      </c>
      <c r="B27" s="21">
        <v>22</v>
      </c>
      <c r="C27" s="28" t="s">
        <v>60</v>
      </c>
      <c r="D27" s="23"/>
      <c r="E27" s="23"/>
      <c r="F27" s="23"/>
      <c r="G27" s="42"/>
      <c r="H27" s="23"/>
      <c r="I27" s="23"/>
      <c r="J27" s="23"/>
      <c r="K27" s="39"/>
      <c r="L27" s="39"/>
      <c r="M27" s="39"/>
      <c r="N27" s="42" t="str">
        <f t="shared" si="11"/>
        <v>CN</v>
      </c>
      <c r="O27" s="39"/>
      <c r="P27" s="39"/>
      <c r="Q27" s="23"/>
      <c r="R27" s="23" t="s">
        <v>26</v>
      </c>
      <c r="S27" s="23" t="s">
        <v>26</v>
      </c>
      <c r="T27" s="23" t="s">
        <v>26</v>
      </c>
      <c r="U27" s="42"/>
      <c r="V27" s="23" t="s">
        <v>26</v>
      </c>
      <c r="W27" s="23" t="s">
        <v>26</v>
      </c>
      <c r="X27" s="23" t="s">
        <v>26</v>
      </c>
      <c r="Y27" s="23" t="s">
        <v>26</v>
      </c>
      <c r="Z27" s="23" t="s">
        <v>26</v>
      </c>
      <c r="AA27" s="23" t="s">
        <v>26</v>
      </c>
      <c r="AB27" s="42">
        <v>8</v>
      </c>
      <c r="AC27" s="23" t="s">
        <v>26</v>
      </c>
      <c r="AD27" s="23" t="s">
        <v>26</v>
      </c>
      <c r="AE27" s="23" t="s">
        <v>26</v>
      </c>
      <c r="AF27" s="23" t="s">
        <v>26</v>
      </c>
      <c r="AG27" s="23" t="str">
        <f t="shared" si="10"/>
        <v/>
      </c>
      <c r="AH27" s="23" t="str">
        <f t="shared" si="10"/>
        <v/>
      </c>
      <c r="AI27" s="24">
        <f t="shared" si="6"/>
        <v>13</v>
      </c>
      <c r="AJ27" s="24">
        <f t="shared" si="7"/>
        <v>0</v>
      </c>
      <c r="AK27" s="41">
        <f>+'Chi tiết tăng ca'!AU25</f>
        <v>13.5</v>
      </c>
      <c r="AL27" s="41">
        <f>+'Chi tiết tăng ca'!AV25</f>
        <v>0</v>
      </c>
      <c r="AM27" s="41">
        <f t="shared" si="8"/>
        <v>8</v>
      </c>
      <c r="AN27" s="41">
        <f t="shared" si="9"/>
        <v>36.25</v>
      </c>
      <c r="AO27" s="41">
        <f t="shared" si="5"/>
        <v>0</v>
      </c>
    </row>
    <row r="28" spans="1:41" x14ac:dyDescent="0.25">
      <c r="B28" s="21">
        <v>23</v>
      </c>
      <c r="C28" s="28" t="s">
        <v>61</v>
      </c>
      <c r="D28" s="23"/>
      <c r="E28" s="23"/>
      <c r="F28" s="23"/>
      <c r="G28" s="42"/>
      <c r="H28" s="23"/>
      <c r="I28" s="23"/>
      <c r="J28" s="23"/>
      <c r="K28" s="39"/>
      <c r="L28" s="39"/>
      <c r="M28" s="39"/>
      <c r="N28" s="42" t="str">
        <f t="shared" si="11"/>
        <v>CN</v>
      </c>
      <c r="O28" s="39"/>
      <c r="P28" s="39"/>
      <c r="Q28" s="23"/>
      <c r="R28" s="23" t="s">
        <v>26</v>
      </c>
      <c r="S28" s="23" t="s">
        <v>26</v>
      </c>
      <c r="T28" s="23" t="s">
        <v>26</v>
      </c>
      <c r="U28" s="42" t="s">
        <v>32</v>
      </c>
      <c r="V28" s="23" t="s">
        <v>26</v>
      </c>
      <c r="W28" s="23" t="s">
        <v>26</v>
      </c>
      <c r="X28" s="23" t="s">
        <v>26</v>
      </c>
      <c r="Y28" s="23" t="s">
        <v>26</v>
      </c>
      <c r="Z28" s="23" t="s">
        <v>26</v>
      </c>
      <c r="AA28" s="23" t="s">
        <v>26</v>
      </c>
      <c r="AB28" s="42" t="s">
        <v>32</v>
      </c>
      <c r="AC28" s="23" t="s">
        <v>26</v>
      </c>
      <c r="AD28" s="23" t="s">
        <v>26</v>
      </c>
      <c r="AE28" s="23" t="s">
        <v>26</v>
      </c>
      <c r="AF28" s="23" t="s">
        <v>26</v>
      </c>
      <c r="AG28" s="23" t="str">
        <f t="shared" si="10"/>
        <v/>
      </c>
      <c r="AH28" s="23" t="str">
        <f t="shared" si="10"/>
        <v/>
      </c>
      <c r="AI28" s="24">
        <f t="shared" si="6"/>
        <v>13</v>
      </c>
      <c r="AJ28" s="24">
        <f t="shared" si="7"/>
        <v>0</v>
      </c>
      <c r="AK28" s="41"/>
      <c r="AL28" s="41"/>
      <c r="AM28" s="41"/>
      <c r="AN28" s="41"/>
      <c r="AO28" s="41">
        <f t="shared" si="5"/>
        <v>0</v>
      </c>
    </row>
    <row r="29" spans="1:41" x14ac:dyDescent="0.25">
      <c r="B29" s="21">
        <v>24</v>
      </c>
      <c r="C29" s="28" t="s">
        <v>62</v>
      </c>
      <c r="D29" s="23"/>
      <c r="E29" s="23"/>
      <c r="F29" s="23"/>
      <c r="G29" s="42"/>
      <c r="H29" s="23"/>
      <c r="I29" s="23"/>
      <c r="J29" s="23"/>
      <c r="K29" s="39"/>
      <c r="L29" s="39"/>
      <c r="M29" s="39"/>
      <c r="N29" s="42" t="str">
        <f t="shared" si="11"/>
        <v>CN</v>
      </c>
      <c r="O29" s="39"/>
      <c r="P29" s="39"/>
      <c r="Q29" s="23"/>
      <c r="R29" s="23"/>
      <c r="S29" s="23" t="s">
        <v>26</v>
      </c>
      <c r="T29" s="23" t="s">
        <v>26</v>
      </c>
      <c r="U29" s="42">
        <v>8</v>
      </c>
      <c r="V29" s="23" t="s">
        <v>26</v>
      </c>
      <c r="W29" s="23" t="s">
        <v>26</v>
      </c>
      <c r="X29" s="23" t="s">
        <v>26</v>
      </c>
      <c r="Y29" s="23" t="s">
        <v>26</v>
      </c>
      <c r="Z29" s="23" t="s">
        <v>26</v>
      </c>
      <c r="AA29" s="23" t="s">
        <v>26</v>
      </c>
      <c r="AB29" s="42">
        <v>8</v>
      </c>
      <c r="AC29" s="23"/>
      <c r="AD29" s="23" t="s">
        <v>26</v>
      </c>
      <c r="AE29" s="23" t="s">
        <v>26</v>
      </c>
      <c r="AF29" s="23" t="s">
        <v>26</v>
      </c>
      <c r="AG29" s="23" t="str">
        <f t="shared" si="10"/>
        <v/>
      </c>
      <c r="AH29" s="23" t="str">
        <f t="shared" si="10"/>
        <v/>
      </c>
      <c r="AI29" s="24">
        <f t="shared" si="6"/>
        <v>11</v>
      </c>
      <c r="AJ29" s="24">
        <f t="shared" si="7"/>
        <v>0</v>
      </c>
      <c r="AK29" s="41">
        <f>+'Chi tiết tăng ca'!AU27</f>
        <v>27.5</v>
      </c>
      <c r="AL29" s="41">
        <f>+'Chi tiết tăng ca'!AV27</f>
        <v>0.5</v>
      </c>
      <c r="AM29" s="41">
        <f t="shared" si="8"/>
        <v>16</v>
      </c>
      <c r="AN29" s="41">
        <f t="shared" si="9"/>
        <v>74.150000000000006</v>
      </c>
      <c r="AO29" s="41">
        <f t="shared" si="5"/>
        <v>0</v>
      </c>
    </row>
    <row r="30" spans="1:41" x14ac:dyDescent="0.25">
      <c r="B30" s="21">
        <v>25</v>
      </c>
      <c r="C30" s="28" t="s">
        <v>63</v>
      </c>
      <c r="D30" s="23"/>
      <c r="E30" s="23"/>
      <c r="F30" s="23"/>
      <c r="G30" s="42"/>
      <c r="H30" s="23"/>
      <c r="I30" s="23"/>
      <c r="J30" s="23"/>
      <c r="K30" s="39"/>
      <c r="L30" s="39"/>
      <c r="M30" s="39"/>
      <c r="N30" s="42" t="str">
        <f t="shared" si="11"/>
        <v>CN</v>
      </c>
      <c r="O30" s="39"/>
      <c r="P30" s="39"/>
      <c r="Q30" s="23"/>
      <c r="R30" s="23"/>
      <c r="S30" s="23" t="s">
        <v>26</v>
      </c>
      <c r="T30" s="23" t="s">
        <v>26</v>
      </c>
      <c r="U30" s="42">
        <v>8</v>
      </c>
      <c r="V30" s="23" t="s">
        <v>26</v>
      </c>
      <c r="W30" s="23" t="s">
        <v>26</v>
      </c>
      <c r="X30" s="23" t="s">
        <v>26</v>
      </c>
      <c r="Y30" s="23" t="s">
        <v>26</v>
      </c>
      <c r="Z30" s="23" t="s">
        <v>26</v>
      </c>
      <c r="AA30" s="23" t="s">
        <v>26</v>
      </c>
      <c r="AB30" s="42">
        <v>8</v>
      </c>
      <c r="AC30" s="23" t="s">
        <v>8</v>
      </c>
      <c r="AD30" s="23" t="s">
        <v>26</v>
      </c>
      <c r="AE30" s="23" t="s">
        <v>26</v>
      </c>
      <c r="AF30" s="23" t="s">
        <v>26</v>
      </c>
      <c r="AG30" s="23" t="str">
        <f t="shared" si="10"/>
        <v/>
      </c>
      <c r="AH30" s="23" t="str">
        <f t="shared" si="10"/>
        <v/>
      </c>
      <c r="AI30" s="24">
        <f t="shared" si="6"/>
        <v>11</v>
      </c>
      <c r="AJ30" s="24">
        <f t="shared" si="7"/>
        <v>1</v>
      </c>
      <c r="AK30" s="41">
        <f>+'Chi tiết tăng ca'!AU28</f>
        <v>24.5</v>
      </c>
      <c r="AL30" s="41">
        <f>+'Chi tiết tăng ca'!AV28</f>
        <v>2</v>
      </c>
      <c r="AM30" s="41">
        <f t="shared" si="8"/>
        <v>16</v>
      </c>
      <c r="AN30" s="41">
        <f t="shared" si="9"/>
        <v>72.349999999999994</v>
      </c>
      <c r="AO30" s="41">
        <f t="shared" si="5"/>
        <v>0</v>
      </c>
    </row>
    <row r="31" spans="1:41" x14ac:dyDescent="0.25">
      <c r="B31" s="21">
        <v>26</v>
      </c>
      <c r="C31" s="28" t="s">
        <v>64</v>
      </c>
      <c r="D31" s="23"/>
      <c r="E31" s="23"/>
      <c r="F31" s="23"/>
      <c r="G31" s="42"/>
      <c r="H31" s="23"/>
      <c r="I31" s="23"/>
      <c r="J31" s="23"/>
      <c r="K31" s="39"/>
      <c r="L31" s="39"/>
      <c r="M31" s="39"/>
      <c r="N31" s="42" t="str">
        <f t="shared" si="11"/>
        <v>CN</v>
      </c>
      <c r="O31" s="39"/>
      <c r="P31" s="39"/>
      <c r="Q31" s="23"/>
      <c r="R31" s="23"/>
      <c r="S31" s="23"/>
      <c r="T31" s="23"/>
      <c r="U31" s="42">
        <v>8</v>
      </c>
      <c r="V31" s="23" t="s">
        <v>26</v>
      </c>
      <c r="W31" s="23" t="s">
        <v>26</v>
      </c>
      <c r="X31" s="23" t="s">
        <v>26</v>
      </c>
      <c r="Y31" s="23" t="s">
        <v>26</v>
      </c>
      <c r="Z31" s="23" t="s">
        <v>26</v>
      </c>
      <c r="AA31" s="23"/>
      <c r="AB31" s="42"/>
      <c r="AC31" s="23"/>
      <c r="AD31" s="23"/>
      <c r="AE31" s="23"/>
      <c r="AF31" s="23"/>
      <c r="AG31" s="23" t="str">
        <f t="shared" si="10"/>
        <v/>
      </c>
      <c r="AH31" s="23" t="str">
        <f t="shared" si="10"/>
        <v/>
      </c>
      <c r="AI31" s="24">
        <f t="shared" si="6"/>
        <v>5</v>
      </c>
      <c r="AJ31" s="24">
        <f t="shared" si="7"/>
        <v>0</v>
      </c>
      <c r="AK31" s="41">
        <f>+'Chi tiết tăng ca'!AU29</f>
        <v>9</v>
      </c>
      <c r="AL31" s="41">
        <f>+'Chi tiết tăng ca'!AV29</f>
        <v>0</v>
      </c>
      <c r="AM31" s="41">
        <f t="shared" si="8"/>
        <v>8</v>
      </c>
      <c r="AN31" s="41">
        <f t="shared" si="9"/>
        <v>29.5</v>
      </c>
      <c r="AO31" s="41">
        <f t="shared" si="5"/>
        <v>0</v>
      </c>
    </row>
    <row r="32" spans="1:41" x14ac:dyDescent="0.25">
      <c r="B32" s="21">
        <v>27</v>
      </c>
      <c r="C32" s="28" t="s">
        <v>65</v>
      </c>
      <c r="D32" s="23"/>
      <c r="E32" s="23"/>
      <c r="F32" s="23"/>
      <c r="G32" s="42"/>
      <c r="H32" s="23"/>
      <c r="I32" s="23"/>
      <c r="J32" s="23"/>
      <c r="K32" s="39"/>
      <c r="L32" s="39"/>
      <c r="M32" s="39"/>
      <c r="N32" s="42" t="str">
        <f t="shared" si="11"/>
        <v>CN</v>
      </c>
      <c r="O32" s="39"/>
      <c r="P32" s="39"/>
      <c r="Q32" s="23"/>
      <c r="R32" s="23"/>
      <c r="S32" s="23"/>
      <c r="T32" s="23"/>
      <c r="U32" s="42">
        <v>8</v>
      </c>
      <c r="V32" s="23" t="s">
        <v>26</v>
      </c>
      <c r="W32" s="23" t="s">
        <v>26</v>
      </c>
      <c r="X32" s="23" t="s">
        <v>26</v>
      </c>
      <c r="Y32" s="23" t="s">
        <v>26</v>
      </c>
      <c r="Z32" s="23" t="s">
        <v>26</v>
      </c>
      <c r="AA32" s="23"/>
      <c r="AB32" s="42"/>
      <c r="AC32" s="23"/>
      <c r="AD32" s="23"/>
      <c r="AE32" s="23"/>
      <c r="AF32" s="23"/>
      <c r="AG32" s="23" t="str">
        <f t="shared" si="10"/>
        <v/>
      </c>
      <c r="AH32" s="23" t="str">
        <f t="shared" si="10"/>
        <v/>
      </c>
      <c r="AI32" s="24">
        <f t="shared" si="6"/>
        <v>5</v>
      </c>
      <c r="AJ32" s="24">
        <f t="shared" si="7"/>
        <v>0</v>
      </c>
      <c r="AK32" s="41">
        <f>+'Chi tiết tăng ca'!AU30</f>
        <v>10.5</v>
      </c>
      <c r="AL32" s="41">
        <f>+'Chi tiết tăng ca'!AV30</f>
        <v>0</v>
      </c>
      <c r="AM32" s="41">
        <f t="shared" si="8"/>
        <v>8</v>
      </c>
      <c r="AN32" s="41">
        <f t="shared" si="9"/>
        <v>31.75</v>
      </c>
      <c r="AO32" s="41">
        <f t="shared" si="5"/>
        <v>0</v>
      </c>
    </row>
    <row r="33" spans="2:41" x14ac:dyDescent="0.25">
      <c r="B33" s="21">
        <v>28</v>
      </c>
      <c r="C33" s="28" t="s">
        <v>235</v>
      </c>
      <c r="D33" s="23"/>
      <c r="E33" s="23"/>
      <c r="F33" s="23"/>
      <c r="G33" s="42"/>
      <c r="H33" s="23"/>
      <c r="I33" s="23"/>
      <c r="J33" s="23"/>
      <c r="K33" s="39"/>
      <c r="L33" s="39"/>
      <c r="M33" s="39"/>
      <c r="N33" s="42" t="str">
        <f t="shared" si="11"/>
        <v>CN</v>
      </c>
      <c r="O33" s="39"/>
      <c r="P33" s="39"/>
      <c r="Q33" s="23"/>
      <c r="R33" s="23"/>
      <c r="S33" s="23" t="s">
        <v>26</v>
      </c>
      <c r="T33" s="23"/>
      <c r="U33" s="42"/>
      <c r="V33" s="23" t="s">
        <v>26</v>
      </c>
      <c r="W33" s="23" t="s">
        <v>26</v>
      </c>
      <c r="X33" s="40" t="s">
        <v>90</v>
      </c>
      <c r="Y33" s="23" t="s">
        <v>26</v>
      </c>
      <c r="Z33" s="40" t="s">
        <v>90</v>
      </c>
      <c r="AA33" s="23" t="s">
        <v>26</v>
      </c>
      <c r="AB33" s="42">
        <v>8</v>
      </c>
      <c r="AC33" s="23" t="s">
        <v>26</v>
      </c>
      <c r="AD33" s="23" t="s">
        <v>26</v>
      </c>
      <c r="AE33" s="23" t="s">
        <v>26</v>
      </c>
      <c r="AF33" s="23" t="s">
        <v>26</v>
      </c>
      <c r="AG33" s="23" t="str">
        <f t="shared" si="10"/>
        <v/>
      </c>
      <c r="AH33" s="23" t="str">
        <f t="shared" si="10"/>
        <v/>
      </c>
      <c r="AI33" s="24">
        <f t="shared" si="6"/>
        <v>10</v>
      </c>
      <c r="AJ33" s="24">
        <f t="shared" si="7"/>
        <v>0</v>
      </c>
      <c r="AK33" s="41">
        <f>+'Chi tiết tăng ca'!AU31</f>
        <v>5</v>
      </c>
      <c r="AL33" s="41">
        <f>+'Chi tiết tăng ca'!AV31</f>
        <v>0</v>
      </c>
      <c r="AM33" s="41">
        <f t="shared" si="8"/>
        <v>8</v>
      </c>
      <c r="AN33" s="41">
        <f t="shared" si="9"/>
        <v>23.5</v>
      </c>
      <c r="AO33" s="41">
        <f t="shared" si="5"/>
        <v>0</v>
      </c>
    </row>
    <row r="34" spans="2:41" x14ac:dyDescent="0.25">
      <c r="B34" s="21">
        <v>29</v>
      </c>
      <c r="C34" s="28" t="s">
        <v>66</v>
      </c>
      <c r="D34" s="23"/>
      <c r="E34" s="23"/>
      <c r="F34" s="23"/>
      <c r="G34" s="42"/>
      <c r="H34" s="23"/>
      <c r="I34" s="23"/>
      <c r="J34" s="23"/>
      <c r="K34" s="39"/>
      <c r="L34" s="39"/>
      <c r="M34" s="39"/>
      <c r="N34" s="42" t="str">
        <f t="shared" si="11"/>
        <v>CN</v>
      </c>
      <c r="O34" s="39"/>
      <c r="P34" s="39"/>
      <c r="Q34" s="23"/>
      <c r="R34" s="23"/>
      <c r="S34" s="23" t="s">
        <v>26</v>
      </c>
      <c r="T34" s="23" t="s">
        <v>26</v>
      </c>
      <c r="U34" s="42"/>
      <c r="V34" s="23" t="s">
        <v>26</v>
      </c>
      <c r="W34" s="23" t="s">
        <v>26</v>
      </c>
      <c r="X34" s="23" t="s">
        <v>26</v>
      </c>
      <c r="Y34" s="23" t="s">
        <v>26</v>
      </c>
      <c r="Z34" s="23" t="s">
        <v>26</v>
      </c>
      <c r="AA34" s="23" t="s">
        <v>26</v>
      </c>
      <c r="AB34" s="42">
        <v>8</v>
      </c>
      <c r="AC34" s="23" t="s">
        <v>26</v>
      </c>
      <c r="AD34" s="23" t="s">
        <v>26</v>
      </c>
      <c r="AE34" s="23" t="s">
        <v>26</v>
      </c>
      <c r="AF34" s="23" t="s">
        <v>26</v>
      </c>
      <c r="AG34" s="23" t="str">
        <f t="shared" si="10"/>
        <v/>
      </c>
      <c r="AH34" s="23" t="str">
        <f t="shared" si="10"/>
        <v/>
      </c>
      <c r="AI34" s="24">
        <f t="shared" si="6"/>
        <v>12</v>
      </c>
      <c r="AJ34" s="24">
        <f t="shared" si="7"/>
        <v>0</v>
      </c>
      <c r="AK34" s="41">
        <f>+'Chi tiết tăng ca'!AU32</f>
        <v>11.5</v>
      </c>
      <c r="AL34" s="41">
        <f>+'Chi tiết tăng ca'!AV32</f>
        <v>0</v>
      </c>
      <c r="AM34" s="41">
        <f t="shared" si="8"/>
        <v>8</v>
      </c>
      <c r="AN34" s="41">
        <f t="shared" si="9"/>
        <v>33.25</v>
      </c>
      <c r="AO34" s="41">
        <f t="shared" si="5"/>
        <v>0</v>
      </c>
    </row>
    <row r="35" spans="2:41" x14ac:dyDescent="0.25">
      <c r="B35" s="21">
        <v>30</v>
      </c>
      <c r="C35" s="28" t="s">
        <v>67</v>
      </c>
      <c r="D35" s="23" t="s">
        <v>26</v>
      </c>
      <c r="E35" s="23" t="s">
        <v>26</v>
      </c>
      <c r="F35" s="23" t="s">
        <v>26</v>
      </c>
      <c r="G35" s="42">
        <v>8</v>
      </c>
      <c r="H35" s="23" t="s">
        <v>26</v>
      </c>
      <c r="I35" s="23" t="s">
        <v>26</v>
      </c>
      <c r="J35" s="23" t="s">
        <v>26</v>
      </c>
      <c r="K35" s="39" t="s">
        <v>89</v>
      </c>
      <c r="L35" s="39"/>
      <c r="M35" s="39"/>
      <c r="N35" s="42" t="str">
        <f t="shared" si="11"/>
        <v>CN</v>
      </c>
      <c r="O35" s="39"/>
      <c r="P35" s="39"/>
      <c r="Q35" s="23" t="s">
        <v>26</v>
      </c>
      <c r="R35" s="23" t="s">
        <v>26</v>
      </c>
      <c r="S35" s="23" t="s">
        <v>26</v>
      </c>
      <c r="T35" s="23" t="s">
        <v>26</v>
      </c>
      <c r="U35" s="42">
        <v>5</v>
      </c>
      <c r="V35" s="23" t="s">
        <v>26</v>
      </c>
      <c r="W35" s="23" t="s">
        <v>26</v>
      </c>
      <c r="X35" s="23" t="s">
        <v>26</v>
      </c>
      <c r="Y35" s="23" t="s">
        <v>26</v>
      </c>
      <c r="Z35" s="23" t="s">
        <v>26</v>
      </c>
      <c r="AA35" s="23" t="s">
        <v>26</v>
      </c>
      <c r="AB35" s="42">
        <v>4</v>
      </c>
      <c r="AC35" s="23" t="s">
        <v>26</v>
      </c>
      <c r="AD35" s="23" t="s">
        <v>26</v>
      </c>
      <c r="AE35" s="23" t="s">
        <v>26</v>
      </c>
      <c r="AF35" s="23" t="s">
        <v>26</v>
      </c>
      <c r="AG35" s="23" t="str">
        <f t="shared" ref="AG35:AH51" si="12">IF(OR(AG$3="",$C35=""),"",IF(WEEKDAY(AG$3,2)&gt;6,"CN","x"))</f>
        <v/>
      </c>
      <c r="AH35" s="23" t="str">
        <f t="shared" si="12"/>
        <v/>
      </c>
      <c r="AI35" s="24">
        <f t="shared" si="6"/>
        <v>20</v>
      </c>
      <c r="AJ35" s="24">
        <f t="shared" si="7"/>
        <v>0</v>
      </c>
      <c r="AK35" s="41">
        <f>+'Chi tiết tăng ca'!AU33</f>
        <v>7.5</v>
      </c>
      <c r="AL35" s="41">
        <f>+'Chi tiết tăng ca'!AV33</f>
        <v>0</v>
      </c>
      <c r="AM35" s="41">
        <f t="shared" si="8"/>
        <v>17</v>
      </c>
      <c r="AN35" s="41">
        <f t="shared" si="9"/>
        <v>45.25</v>
      </c>
      <c r="AO35" s="41">
        <f t="shared" si="5"/>
        <v>1</v>
      </c>
    </row>
    <row r="36" spans="2:41" ht="15.75" x14ac:dyDescent="0.25">
      <c r="B36" s="21">
        <v>31</v>
      </c>
      <c r="C36" s="36" t="s">
        <v>96</v>
      </c>
      <c r="D36" s="23" t="s">
        <v>26</v>
      </c>
      <c r="E36" s="23" t="s">
        <v>26</v>
      </c>
      <c r="F36" s="23" t="s">
        <v>26</v>
      </c>
      <c r="G36" s="42">
        <v>8</v>
      </c>
      <c r="H36" s="23" t="s">
        <v>26</v>
      </c>
      <c r="I36" s="23" t="s">
        <v>26</v>
      </c>
      <c r="J36" s="23" t="s">
        <v>26</v>
      </c>
      <c r="K36" s="39"/>
      <c r="L36" s="39"/>
      <c r="M36" s="39"/>
      <c r="N36" s="42" t="str">
        <f t="shared" si="11"/>
        <v>CN</v>
      </c>
      <c r="O36" s="39"/>
      <c r="P36" s="39"/>
      <c r="Q36" s="23" t="s">
        <v>26</v>
      </c>
      <c r="R36" s="23" t="s">
        <v>26</v>
      </c>
      <c r="S36" s="23" t="s">
        <v>26</v>
      </c>
      <c r="T36" s="23" t="s">
        <v>26</v>
      </c>
      <c r="U36" s="42">
        <v>4</v>
      </c>
      <c r="V36" s="23" t="s">
        <v>26</v>
      </c>
      <c r="W36" s="40" t="s">
        <v>90</v>
      </c>
      <c r="X36" s="23"/>
      <c r="Y36" s="23"/>
      <c r="Z36" s="23"/>
      <c r="AA36" s="23"/>
      <c r="AB36" s="42"/>
      <c r="AC36" s="23"/>
      <c r="AD36" s="23"/>
      <c r="AE36" s="23"/>
      <c r="AF36" s="23"/>
      <c r="AG36" s="23" t="str">
        <f t="shared" si="12"/>
        <v/>
      </c>
      <c r="AH36" s="23" t="str">
        <f t="shared" si="12"/>
        <v/>
      </c>
      <c r="AI36" s="24">
        <f t="shared" si="6"/>
        <v>11.5</v>
      </c>
      <c r="AJ36" s="24">
        <f t="shared" si="7"/>
        <v>0</v>
      </c>
      <c r="AK36" s="41">
        <f>+'Chi tiết tăng ca'!AU34</f>
        <v>0</v>
      </c>
      <c r="AL36" s="41">
        <f>+'Chi tiết tăng ca'!AV34</f>
        <v>0</v>
      </c>
      <c r="AM36" s="41">
        <f t="shared" si="8"/>
        <v>12</v>
      </c>
      <c r="AN36" s="41">
        <f t="shared" si="9"/>
        <v>24</v>
      </c>
      <c r="AO36" s="41">
        <f t="shared" si="5"/>
        <v>0</v>
      </c>
    </row>
    <row r="37" spans="2:41" x14ac:dyDescent="0.25">
      <c r="B37" s="21">
        <v>32</v>
      </c>
      <c r="C37" s="28" t="s">
        <v>68</v>
      </c>
      <c r="D37" s="23"/>
      <c r="E37" s="23"/>
      <c r="F37" s="23"/>
      <c r="G37" s="42"/>
      <c r="H37" s="23"/>
      <c r="I37" s="23"/>
      <c r="J37" s="23"/>
      <c r="K37" s="39"/>
      <c r="L37" s="39"/>
      <c r="M37" s="39"/>
      <c r="N37" s="42" t="str">
        <f t="shared" si="11"/>
        <v>CN</v>
      </c>
      <c r="O37" s="39"/>
      <c r="P37" s="39"/>
      <c r="Q37" s="23"/>
      <c r="R37" s="23"/>
      <c r="S37" s="23" t="s">
        <v>26</v>
      </c>
      <c r="T37" s="23" t="s">
        <v>26</v>
      </c>
      <c r="U37" s="42">
        <v>5</v>
      </c>
      <c r="V37" s="23" t="s">
        <v>26</v>
      </c>
      <c r="W37" s="23" t="s">
        <v>26</v>
      </c>
      <c r="X37" s="23"/>
      <c r="Y37" s="23"/>
      <c r="Z37" s="23"/>
      <c r="AA37" s="23"/>
      <c r="AB37" s="42"/>
      <c r="AC37" s="23"/>
      <c r="AD37" s="23"/>
      <c r="AE37" s="23"/>
      <c r="AF37" s="23"/>
      <c r="AG37" s="23" t="str">
        <f t="shared" si="12"/>
        <v/>
      </c>
      <c r="AH37" s="23" t="str">
        <f t="shared" si="12"/>
        <v/>
      </c>
      <c r="AI37" s="24">
        <f t="shared" si="6"/>
        <v>4</v>
      </c>
      <c r="AJ37" s="24">
        <f t="shared" si="7"/>
        <v>0</v>
      </c>
      <c r="AK37" s="41">
        <f>+'Chi tiết tăng ca'!AU35</f>
        <v>1.5</v>
      </c>
      <c r="AL37" s="41">
        <f>+'Chi tiết tăng ca'!AV35</f>
        <v>0</v>
      </c>
      <c r="AM37" s="41">
        <f t="shared" si="8"/>
        <v>5</v>
      </c>
      <c r="AN37" s="41">
        <f t="shared" si="9"/>
        <v>12.25</v>
      </c>
      <c r="AO37" s="41">
        <f t="shared" si="5"/>
        <v>0</v>
      </c>
    </row>
    <row r="38" spans="2:41" x14ac:dyDescent="0.25">
      <c r="B38" s="21">
        <v>33</v>
      </c>
      <c r="C38" s="28" t="s">
        <v>69</v>
      </c>
      <c r="D38" s="23"/>
      <c r="E38" s="23"/>
      <c r="F38" s="23"/>
      <c r="G38" s="42"/>
      <c r="H38" s="23"/>
      <c r="I38" s="23"/>
      <c r="J38" s="23"/>
      <c r="K38" s="39"/>
      <c r="L38" s="39"/>
      <c r="M38" s="39"/>
      <c r="N38" s="42" t="str">
        <f t="shared" si="11"/>
        <v>CN</v>
      </c>
      <c r="O38" s="39"/>
      <c r="P38" s="39"/>
      <c r="Q38" s="23"/>
      <c r="R38" s="23"/>
      <c r="S38" s="23"/>
      <c r="T38" s="23"/>
      <c r="U38" s="42"/>
      <c r="V38" s="23"/>
      <c r="W38" s="23" t="s">
        <v>26</v>
      </c>
      <c r="X38" s="23" t="s">
        <v>26</v>
      </c>
      <c r="Y38" s="23" t="s">
        <v>26</v>
      </c>
      <c r="Z38" s="23" t="s">
        <v>26</v>
      </c>
      <c r="AA38" s="23" t="s">
        <v>26</v>
      </c>
      <c r="AB38" s="42"/>
      <c r="AC38" s="23" t="s">
        <v>26</v>
      </c>
      <c r="AD38" s="23" t="s">
        <v>26</v>
      </c>
      <c r="AE38" s="23" t="s">
        <v>26</v>
      </c>
      <c r="AF38" s="23" t="s">
        <v>26</v>
      </c>
      <c r="AG38" s="23" t="str">
        <f t="shared" si="12"/>
        <v/>
      </c>
      <c r="AH38" s="23" t="str">
        <f t="shared" si="12"/>
        <v/>
      </c>
      <c r="AI38" s="24">
        <f t="shared" si="6"/>
        <v>9</v>
      </c>
      <c r="AJ38" s="24">
        <f t="shared" si="7"/>
        <v>0</v>
      </c>
      <c r="AK38" s="41">
        <f>+'Chi tiết tăng ca'!AU36</f>
        <v>23</v>
      </c>
      <c r="AL38" s="41">
        <f>+'Chi tiết tăng ca'!AV36</f>
        <v>0.5</v>
      </c>
      <c r="AM38" s="41">
        <f t="shared" si="8"/>
        <v>0</v>
      </c>
      <c r="AN38" s="41">
        <f t="shared" si="9"/>
        <v>35.4</v>
      </c>
      <c r="AO38" s="41">
        <f t="shared" ref="AO38:AO58" si="13">+COUNTIF(F38:AH38,"T")</f>
        <v>0</v>
      </c>
    </row>
    <row r="39" spans="2:41" x14ac:dyDescent="0.25">
      <c r="B39" s="21">
        <v>34</v>
      </c>
      <c r="C39" s="28" t="s">
        <v>70</v>
      </c>
      <c r="D39" s="23"/>
      <c r="E39" s="23"/>
      <c r="F39" s="23"/>
      <c r="G39" s="42"/>
      <c r="H39" s="23"/>
      <c r="I39" s="23"/>
      <c r="J39" s="23"/>
      <c r="K39" s="39"/>
      <c r="L39" s="39"/>
      <c r="M39" s="39"/>
      <c r="N39" s="42" t="str">
        <f t="shared" si="11"/>
        <v>CN</v>
      </c>
      <c r="O39" s="39"/>
      <c r="P39" s="39"/>
      <c r="Q39" s="23"/>
      <c r="R39" s="23"/>
      <c r="S39" s="23"/>
      <c r="T39" s="23"/>
      <c r="U39" s="42"/>
      <c r="V39" s="23"/>
      <c r="W39" s="23"/>
      <c r="X39" s="23" t="s">
        <v>26</v>
      </c>
      <c r="Y39" s="23" t="s">
        <v>26</v>
      </c>
      <c r="Z39" s="23" t="s">
        <v>26</v>
      </c>
      <c r="AA39" s="23" t="s">
        <v>26</v>
      </c>
      <c r="AB39" s="42">
        <v>8</v>
      </c>
      <c r="AC39" s="23" t="s">
        <v>26</v>
      </c>
      <c r="AD39" s="23" t="s">
        <v>26</v>
      </c>
      <c r="AE39" s="23" t="s">
        <v>26</v>
      </c>
      <c r="AF39" s="23" t="s">
        <v>26</v>
      </c>
      <c r="AG39" s="23" t="str">
        <f t="shared" si="12"/>
        <v/>
      </c>
      <c r="AH39" s="23" t="str">
        <f t="shared" si="12"/>
        <v/>
      </c>
      <c r="AI39" s="24">
        <f t="shared" si="6"/>
        <v>8</v>
      </c>
      <c r="AJ39" s="24">
        <f t="shared" si="7"/>
        <v>0</v>
      </c>
      <c r="AK39" s="41">
        <f>+'Chi tiết tăng ca'!AU37</f>
        <v>23.5</v>
      </c>
      <c r="AL39" s="41">
        <f>+'Chi tiết tăng ca'!AV37</f>
        <v>0</v>
      </c>
      <c r="AM39" s="41">
        <f t="shared" si="8"/>
        <v>8</v>
      </c>
      <c r="AN39" s="41">
        <f t="shared" si="9"/>
        <v>51.25</v>
      </c>
      <c r="AO39" s="41">
        <f t="shared" si="13"/>
        <v>0</v>
      </c>
    </row>
    <row r="40" spans="2:41" x14ac:dyDescent="0.25">
      <c r="B40" s="21">
        <v>35</v>
      </c>
      <c r="C40" s="28" t="s">
        <v>71</v>
      </c>
      <c r="D40" s="23"/>
      <c r="E40" s="23"/>
      <c r="F40" s="23"/>
      <c r="G40" s="42"/>
      <c r="H40" s="23"/>
      <c r="I40" s="23"/>
      <c r="J40" s="23"/>
      <c r="K40" s="39"/>
      <c r="L40" s="39"/>
      <c r="M40" s="39"/>
      <c r="N40" s="42" t="str">
        <f t="shared" si="11"/>
        <v>CN</v>
      </c>
      <c r="O40" s="39"/>
      <c r="P40" s="39"/>
      <c r="Q40" s="23"/>
      <c r="R40" s="23"/>
      <c r="S40" s="23"/>
      <c r="T40" s="23"/>
      <c r="U40" s="42"/>
      <c r="V40" s="23"/>
      <c r="W40" s="23"/>
      <c r="X40" s="23"/>
      <c r="Y40" s="23" t="s">
        <v>26</v>
      </c>
      <c r="Z40" s="23" t="s">
        <v>26</v>
      </c>
      <c r="AA40" s="23" t="s">
        <v>26</v>
      </c>
      <c r="AB40" s="42"/>
      <c r="AC40" s="23" t="s">
        <v>26</v>
      </c>
      <c r="AD40" s="23" t="s">
        <v>26</v>
      </c>
      <c r="AE40" s="23" t="s">
        <v>26</v>
      </c>
      <c r="AF40" s="23" t="s">
        <v>26</v>
      </c>
      <c r="AG40" s="23" t="str">
        <f t="shared" si="12"/>
        <v/>
      </c>
      <c r="AH40" s="23" t="str">
        <f t="shared" si="12"/>
        <v/>
      </c>
      <c r="AI40" s="24">
        <f t="shared" si="6"/>
        <v>7</v>
      </c>
      <c r="AJ40" s="24">
        <f t="shared" si="7"/>
        <v>0</v>
      </c>
      <c r="AK40" s="41">
        <f>+'Chi tiết tăng ca'!AU38</f>
        <v>17</v>
      </c>
      <c r="AL40" s="41">
        <f>+'Chi tiết tăng ca'!AV38</f>
        <v>0.5</v>
      </c>
      <c r="AM40" s="41">
        <f t="shared" si="8"/>
        <v>0</v>
      </c>
      <c r="AN40" s="41">
        <f t="shared" si="9"/>
        <v>26.4</v>
      </c>
      <c r="AO40" s="41">
        <f t="shared" si="13"/>
        <v>0</v>
      </c>
    </row>
    <row r="41" spans="2:41" x14ac:dyDescent="0.25">
      <c r="B41" s="21">
        <v>36</v>
      </c>
      <c r="C41" s="28" t="s">
        <v>72</v>
      </c>
      <c r="D41" s="23"/>
      <c r="E41" s="23"/>
      <c r="F41" s="23"/>
      <c r="G41" s="42"/>
      <c r="H41" s="23"/>
      <c r="I41" s="23"/>
      <c r="J41" s="23"/>
      <c r="K41" s="39"/>
      <c r="L41" s="39"/>
      <c r="M41" s="39"/>
      <c r="N41" s="42" t="str">
        <f t="shared" si="11"/>
        <v>CN</v>
      </c>
      <c r="O41" s="39"/>
      <c r="P41" s="39"/>
      <c r="Q41" s="23"/>
      <c r="R41" s="23"/>
      <c r="S41" s="23"/>
      <c r="T41" s="23"/>
      <c r="U41" s="42"/>
      <c r="V41" s="23"/>
      <c r="W41" s="23"/>
      <c r="X41" s="23"/>
      <c r="Y41" s="23" t="s">
        <v>26</v>
      </c>
      <c r="Z41" s="23" t="s">
        <v>26</v>
      </c>
      <c r="AA41" s="23" t="s">
        <v>26</v>
      </c>
      <c r="AB41" s="42"/>
      <c r="AC41" s="23" t="s">
        <v>26</v>
      </c>
      <c r="AD41" s="23" t="s">
        <v>26</v>
      </c>
      <c r="AE41" s="23" t="s">
        <v>26</v>
      </c>
      <c r="AF41" s="23" t="s">
        <v>26</v>
      </c>
      <c r="AG41" s="23" t="str">
        <f t="shared" si="12"/>
        <v/>
      </c>
      <c r="AH41" s="23" t="str">
        <f t="shared" si="12"/>
        <v/>
      </c>
      <c r="AI41" s="24">
        <f t="shared" si="6"/>
        <v>7</v>
      </c>
      <c r="AJ41" s="24">
        <f t="shared" si="7"/>
        <v>0</v>
      </c>
      <c r="AK41" s="41">
        <f>+'Chi tiết tăng ca'!AU39</f>
        <v>20</v>
      </c>
      <c r="AL41" s="41">
        <f>+'Chi tiết tăng ca'!AV39</f>
        <v>0.5</v>
      </c>
      <c r="AM41" s="41">
        <f t="shared" si="8"/>
        <v>0</v>
      </c>
      <c r="AN41" s="41">
        <f t="shared" si="9"/>
        <v>30.9</v>
      </c>
      <c r="AO41" s="41">
        <f t="shared" si="13"/>
        <v>0</v>
      </c>
    </row>
    <row r="42" spans="2:41" x14ac:dyDescent="0.25">
      <c r="B42" s="21">
        <v>37</v>
      </c>
      <c r="C42" s="28" t="s">
        <v>73</v>
      </c>
      <c r="D42" s="23"/>
      <c r="E42" s="23"/>
      <c r="F42" s="23"/>
      <c r="G42" s="42"/>
      <c r="H42" s="23"/>
      <c r="I42" s="23"/>
      <c r="J42" s="23"/>
      <c r="K42" s="39"/>
      <c r="L42" s="39"/>
      <c r="M42" s="39"/>
      <c r="N42" s="42" t="str">
        <f t="shared" si="11"/>
        <v>CN</v>
      </c>
      <c r="O42" s="39"/>
      <c r="P42" s="39"/>
      <c r="Q42" s="23"/>
      <c r="R42" s="23"/>
      <c r="S42" s="23"/>
      <c r="T42" s="23"/>
      <c r="U42" s="42"/>
      <c r="V42" s="23"/>
      <c r="W42" s="23"/>
      <c r="X42" s="23"/>
      <c r="Y42" s="23" t="s">
        <v>26</v>
      </c>
      <c r="Z42" s="23" t="s">
        <v>26</v>
      </c>
      <c r="AA42" s="23" t="s">
        <v>26</v>
      </c>
      <c r="AB42" s="42">
        <v>8</v>
      </c>
      <c r="AC42" s="23" t="s">
        <v>26</v>
      </c>
      <c r="AD42" s="23" t="s">
        <v>26</v>
      </c>
      <c r="AE42" s="23" t="s">
        <v>26</v>
      </c>
      <c r="AF42" s="23" t="s">
        <v>26</v>
      </c>
      <c r="AG42" s="23" t="str">
        <f t="shared" si="12"/>
        <v/>
      </c>
      <c r="AH42" s="23" t="str">
        <f t="shared" si="12"/>
        <v/>
      </c>
      <c r="AI42" s="24">
        <f t="shared" si="6"/>
        <v>7</v>
      </c>
      <c r="AJ42" s="24">
        <f t="shared" si="7"/>
        <v>0</v>
      </c>
      <c r="AK42" s="41">
        <f>+'Chi tiết tăng ca'!AU40</f>
        <v>15</v>
      </c>
      <c r="AL42" s="41">
        <f>+'Chi tiết tăng ca'!AV40</f>
        <v>0</v>
      </c>
      <c r="AM42" s="41">
        <f t="shared" si="8"/>
        <v>8</v>
      </c>
      <c r="AN42" s="41">
        <f t="shared" si="9"/>
        <v>38.5</v>
      </c>
      <c r="AO42" s="41">
        <f t="shared" si="13"/>
        <v>0</v>
      </c>
    </row>
    <row r="43" spans="2:41" x14ac:dyDescent="0.25">
      <c r="B43" s="21">
        <v>38</v>
      </c>
      <c r="C43" s="28" t="s">
        <v>74</v>
      </c>
      <c r="D43" s="23"/>
      <c r="E43" s="23"/>
      <c r="F43" s="23"/>
      <c r="G43" s="42"/>
      <c r="H43" s="23"/>
      <c r="I43" s="23"/>
      <c r="J43" s="23"/>
      <c r="K43" s="39"/>
      <c r="L43" s="39"/>
      <c r="M43" s="39"/>
      <c r="N43" s="42" t="str">
        <f t="shared" si="11"/>
        <v>CN</v>
      </c>
      <c r="O43" s="39"/>
      <c r="P43" s="39"/>
      <c r="Q43" s="23"/>
      <c r="R43" s="23"/>
      <c r="S43" s="23"/>
      <c r="T43" s="23"/>
      <c r="U43" s="42"/>
      <c r="V43" s="23"/>
      <c r="W43" s="23"/>
      <c r="X43" s="23"/>
      <c r="Y43" s="23" t="s">
        <v>26</v>
      </c>
      <c r="Z43" s="23" t="s">
        <v>26</v>
      </c>
      <c r="AA43" s="23" t="s">
        <v>26</v>
      </c>
      <c r="AB43" s="42">
        <v>8</v>
      </c>
      <c r="AC43" s="23" t="s">
        <v>26</v>
      </c>
      <c r="AD43" s="23" t="s">
        <v>26</v>
      </c>
      <c r="AE43" s="23" t="s">
        <v>26</v>
      </c>
      <c r="AF43" s="23" t="s">
        <v>26</v>
      </c>
      <c r="AG43" s="23" t="str">
        <f t="shared" si="12"/>
        <v/>
      </c>
      <c r="AH43" s="23" t="str">
        <f t="shared" si="12"/>
        <v/>
      </c>
      <c r="AI43" s="24">
        <f t="shared" si="6"/>
        <v>7</v>
      </c>
      <c r="AJ43" s="24">
        <f t="shared" si="7"/>
        <v>0</v>
      </c>
      <c r="AK43" s="41">
        <f>+'Chi tiết tăng ca'!AU41</f>
        <v>15</v>
      </c>
      <c r="AL43" s="41">
        <f>+'Chi tiết tăng ca'!AV41</f>
        <v>0</v>
      </c>
      <c r="AM43" s="41">
        <f t="shared" si="8"/>
        <v>8</v>
      </c>
      <c r="AN43" s="41">
        <f t="shared" si="9"/>
        <v>38.5</v>
      </c>
      <c r="AO43" s="41">
        <f t="shared" si="13"/>
        <v>0</v>
      </c>
    </row>
    <row r="44" spans="2:41" x14ac:dyDescent="0.25">
      <c r="B44" s="21">
        <v>39</v>
      </c>
      <c r="C44" s="28" t="s">
        <v>75</v>
      </c>
      <c r="D44" s="23"/>
      <c r="E44" s="23"/>
      <c r="F44" s="23"/>
      <c r="G44" s="42"/>
      <c r="H44" s="23"/>
      <c r="I44" s="23"/>
      <c r="J44" s="23"/>
      <c r="K44" s="39"/>
      <c r="L44" s="39"/>
      <c r="M44" s="39"/>
      <c r="N44" s="42" t="str">
        <f t="shared" si="11"/>
        <v>CN</v>
      </c>
      <c r="O44" s="39"/>
      <c r="P44" s="39"/>
      <c r="Q44" s="23"/>
      <c r="R44" s="23"/>
      <c r="S44" s="23"/>
      <c r="T44" s="23"/>
      <c r="U44" s="42"/>
      <c r="V44" s="23"/>
      <c r="W44" s="23"/>
      <c r="X44" s="23"/>
      <c r="Y44" s="23" t="s">
        <v>26</v>
      </c>
      <c r="Z44" s="23" t="s">
        <v>26</v>
      </c>
      <c r="AA44" s="23" t="s">
        <v>26</v>
      </c>
      <c r="AB44" s="42">
        <v>8</v>
      </c>
      <c r="AC44" s="23" t="s">
        <v>26</v>
      </c>
      <c r="AD44" s="23" t="s">
        <v>26</v>
      </c>
      <c r="AE44" s="23" t="s">
        <v>26</v>
      </c>
      <c r="AF44" s="23" t="s">
        <v>26</v>
      </c>
      <c r="AG44" s="23" t="str">
        <f t="shared" si="12"/>
        <v/>
      </c>
      <c r="AH44" s="23" t="str">
        <f t="shared" si="12"/>
        <v/>
      </c>
      <c r="AI44" s="24">
        <f t="shared" si="6"/>
        <v>7</v>
      </c>
      <c r="AJ44" s="24">
        <f t="shared" si="7"/>
        <v>0</v>
      </c>
      <c r="AK44" s="41">
        <f>+'Chi tiết tăng ca'!AU42</f>
        <v>21.5</v>
      </c>
      <c r="AL44" s="41">
        <f>+'Chi tiết tăng ca'!AV42</f>
        <v>1.5</v>
      </c>
      <c r="AM44" s="41">
        <f t="shared" si="8"/>
        <v>8</v>
      </c>
      <c r="AN44" s="41">
        <f t="shared" si="9"/>
        <v>50.95</v>
      </c>
      <c r="AO44" s="41">
        <f t="shared" si="13"/>
        <v>0</v>
      </c>
    </row>
    <row r="45" spans="2:41" x14ac:dyDescent="0.25">
      <c r="B45" s="21">
        <v>40</v>
      </c>
      <c r="C45" s="28" t="s">
        <v>76</v>
      </c>
      <c r="D45" s="23"/>
      <c r="E45" s="23"/>
      <c r="F45" s="23"/>
      <c r="G45" s="42"/>
      <c r="H45" s="23"/>
      <c r="I45" s="23"/>
      <c r="J45" s="23"/>
      <c r="K45" s="39"/>
      <c r="L45" s="39"/>
      <c r="M45" s="39"/>
      <c r="N45" s="42" t="str">
        <f t="shared" si="11"/>
        <v>CN</v>
      </c>
      <c r="O45" s="39"/>
      <c r="P45" s="39"/>
      <c r="Q45" s="23"/>
      <c r="R45" s="23"/>
      <c r="S45" s="23"/>
      <c r="T45" s="23"/>
      <c r="U45" s="42"/>
      <c r="V45" s="23"/>
      <c r="W45" s="23"/>
      <c r="X45" s="23"/>
      <c r="Y45" s="23" t="s">
        <v>26</v>
      </c>
      <c r="Z45" s="23" t="s">
        <v>26</v>
      </c>
      <c r="AA45" s="23" t="s">
        <v>26</v>
      </c>
      <c r="AB45" s="42">
        <v>8</v>
      </c>
      <c r="AC45" s="23" t="s">
        <v>26</v>
      </c>
      <c r="AD45" s="23" t="s">
        <v>26</v>
      </c>
      <c r="AE45" s="23" t="s">
        <v>26</v>
      </c>
      <c r="AF45" s="23" t="s">
        <v>26</v>
      </c>
      <c r="AG45" s="23" t="str">
        <f t="shared" si="12"/>
        <v/>
      </c>
      <c r="AH45" s="23" t="str">
        <f t="shared" si="12"/>
        <v/>
      </c>
      <c r="AI45" s="24">
        <f t="shared" si="6"/>
        <v>7</v>
      </c>
      <c r="AJ45" s="24">
        <f t="shared" si="7"/>
        <v>0</v>
      </c>
      <c r="AK45" s="41">
        <f>+'Chi tiết tăng ca'!AU43</f>
        <v>26</v>
      </c>
      <c r="AL45" s="41">
        <f>+'Chi tiết tăng ca'!AV43</f>
        <v>2</v>
      </c>
      <c r="AM45" s="41">
        <f t="shared" si="8"/>
        <v>8</v>
      </c>
      <c r="AN45" s="41">
        <f t="shared" si="9"/>
        <v>58.6</v>
      </c>
      <c r="AO45" s="41">
        <f t="shared" si="13"/>
        <v>0</v>
      </c>
    </row>
    <row r="46" spans="2:41" x14ac:dyDescent="0.25">
      <c r="B46" s="21">
        <v>41</v>
      </c>
      <c r="C46" s="28" t="s">
        <v>77</v>
      </c>
      <c r="D46" s="23"/>
      <c r="E46" s="23"/>
      <c r="F46" s="23"/>
      <c r="G46" s="42"/>
      <c r="H46" s="23"/>
      <c r="I46" s="23"/>
      <c r="J46" s="23"/>
      <c r="K46" s="39"/>
      <c r="L46" s="39"/>
      <c r="M46" s="39"/>
      <c r="N46" s="42" t="str">
        <f t="shared" si="11"/>
        <v>CN</v>
      </c>
      <c r="O46" s="39"/>
      <c r="P46" s="39"/>
      <c r="Q46" s="23"/>
      <c r="R46" s="23"/>
      <c r="S46" s="23"/>
      <c r="T46" s="23"/>
      <c r="U46" s="42"/>
      <c r="V46" s="23"/>
      <c r="W46" s="23"/>
      <c r="X46" s="23"/>
      <c r="Y46" s="23" t="s">
        <v>26</v>
      </c>
      <c r="Z46" s="23" t="s">
        <v>26</v>
      </c>
      <c r="AA46" s="23" t="s">
        <v>26</v>
      </c>
      <c r="AB46" s="42">
        <v>8</v>
      </c>
      <c r="AC46" s="23" t="s">
        <v>26</v>
      </c>
      <c r="AD46" s="23" t="s">
        <v>26</v>
      </c>
      <c r="AE46" s="23" t="s">
        <v>26</v>
      </c>
      <c r="AF46" s="23" t="s">
        <v>26</v>
      </c>
      <c r="AG46" s="23" t="str">
        <f t="shared" si="12"/>
        <v/>
      </c>
      <c r="AH46" s="23" t="str">
        <f t="shared" si="12"/>
        <v/>
      </c>
      <c r="AI46" s="24">
        <f t="shared" si="6"/>
        <v>7</v>
      </c>
      <c r="AJ46" s="24">
        <f t="shared" si="7"/>
        <v>0</v>
      </c>
      <c r="AK46" s="41">
        <f>+'Chi tiết tăng ca'!AU44</f>
        <v>15</v>
      </c>
      <c r="AL46" s="41">
        <f>+'Chi tiết tăng ca'!AV44</f>
        <v>0</v>
      </c>
      <c r="AM46" s="41">
        <f t="shared" si="8"/>
        <v>8</v>
      </c>
      <c r="AN46" s="41">
        <f t="shared" si="9"/>
        <v>38.5</v>
      </c>
      <c r="AO46" s="41">
        <f t="shared" si="13"/>
        <v>0</v>
      </c>
    </row>
    <row r="47" spans="2:41" x14ac:dyDescent="0.25">
      <c r="B47" s="21">
        <v>42</v>
      </c>
      <c r="C47" s="28" t="s">
        <v>78</v>
      </c>
      <c r="D47" s="23"/>
      <c r="E47" s="23"/>
      <c r="F47" s="23"/>
      <c r="G47" s="42"/>
      <c r="H47" s="23"/>
      <c r="I47" s="23"/>
      <c r="J47" s="23"/>
      <c r="K47" s="39"/>
      <c r="L47" s="39"/>
      <c r="M47" s="39"/>
      <c r="N47" s="42" t="str">
        <f t="shared" si="11"/>
        <v>CN</v>
      </c>
      <c r="O47" s="39"/>
      <c r="P47" s="39"/>
      <c r="Q47" s="23"/>
      <c r="R47" s="23"/>
      <c r="S47" s="23"/>
      <c r="T47" s="23"/>
      <c r="U47" s="42"/>
      <c r="V47" s="23"/>
      <c r="W47" s="23"/>
      <c r="X47" s="23"/>
      <c r="Y47" s="23"/>
      <c r="Z47" s="23"/>
      <c r="AA47" s="23" t="s">
        <v>26</v>
      </c>
      <c r="AB47" s="42"/>
      <c r="AC47" s="23" t="s">
        <v>26</v>
      </c>
      <c r="AD47" s="23" t="s">
        <v>26</v>
      </c>
      <c r="AE47" s="23" t="s">
        <v>26</v>
      </c>
      <c r="AF47" s="23" t="s">
        <v>26</v>
      </c>
      <c r="AG47" s="23" t="str">
        <f t="shared" si="12"/>
        <v/>
      </c>
      <c r="AH47" s="23" t="str">
        <f t="shared" si="12"/>
        <v/>
      </c>
      <c r="AI47" s="24">
        <f t="shared" si="6"/>
        <v>5</v>
      </c>
      <c r="AJ47" s="24">
        <f t="shared" si="7"/>
        <v>0</v>
      </c>
      <c r="AK47" s="41">
        <f>+'Chi tiết tăng ca'!AU45</f>
        <v>0</v>
      </c>
      <c r="AL47" s="41">
        <f>+'Chi tiết tăng ca'!AV45</f>
        <v>0</v>
      </c>
      <c r="AM47" s="41">
        <f t="shared" si="8"/>
        <v>0</v>
      </c>
      <c r="AN47" s="41">
        <f t="shared" si="9"/>
        <v>0</v>
      </c>
      <c r="AO47" s="41">
        <f t="shared" si="13"/>
        <v>0</v>
      </c>
    </row>
    <row r="48" spans="2:41" x14ac:dyDescent="0.25">
      <c r="B48" s="21">
        <v>43</v>
      </c>
      <c r="C48" s="28" t="s">
        <v>79</v>
      </c>
      <c r="D48" s="23"/>
      <c r="E48" s="23"/>
      <c r="F48" s="23"/>
      <c r="G48" s="42"/>
      <c r="H48" s="23"/>
      <c r="I48" s="23"/>
      <c r="J48" s="23"/>
      <c r="K48" s="39"/>
      <c r="L48" s="39"/>
      <c r="M48" s="39"/>
      <c r="N48" s="42" t="str">
        <f t="shared" si="11"/>
        <v>CN</v>
      </c>
      <c r="O48" s="39"/>
      <c r="P48" s="39"/>
      <c r="Q48" s="23"/>
      <c r="R48" s="23"/>
      <c r="S48" s="23"/>
      <c r="T48" s="23"/>
      <c r="U48" s="42"/>
      <c r="V48" s="23"/>
      <c r="W48" s="23"/>
      <c r="X48" s="23"/>
      <c r="Y48" s="23"/>
      <c r="Z48" s="23" t="s">
        <v>26</v>
      </c>
      <c r="AA48" s="23" t="s">
        <v>26</v>
      </c>
      <c r="AB48" s="42">
        <v>8</v>
      </c>
      <c r="AC48" s="23" t="s">
        <v>26</v>
      </c>
      <c r="AD48" s="23" t="s">
        <v>26</v>
      </c>
      <c r="AE48" s="23" t="s">
        <v>26</v>
      </c>
      <c r="AF48" s="23" t="s">
        <v>26</v>
      </c>
      <c r="AG48" s="23" t="str">
        <f t="shared" si="12"/>
        <v/>
      </c>
      <c r="AH48" s="23" t="str">
        <f t="shared" si="12"/>
        <v/>
      </c>
      <c r="AI48" s="24">
        <f t="shared" si="6"/>
        <v>6</v>
      </c>
      <c r="AJ48" s="24">
        <f t="shared" si="7"/>
        <v>0</v>
      </c>
      <c r="AK48" s="41">
        <f>+'Chi tiết tăng ca'!AU46</f>
        <v>17</v>
      </c>
      <c r="AL48" s="41">
        <f>+'Chi tiết tăng ca'!AV46</f>
        <v>0</v>
      </c>
      <c r="AM48" s="41">
        <f t="shared" si="8"/>
        <v>8</v>
      </c>
      <c r="AN48" s="41">
        <f t="shared" si="9"/>
        <v>41.5</v>
      </c>
      <c r="AO48" s="41">
        <f t="shared" si="13"/>
        <v>0</v>
      </c>
    </row>
    <row r="49" spans="2:41" x14ac:dyDescent="0.25">
      <c r="B49" s="21">
        <v>44</v>
      </c>
      <c r="C49" s="28" t="s">
        <v>80</v>
      </c>
      <c r="D49" s="23"/>
      <c r="E49" s="23"/>
      <c r="F49" s="23"/>
      <c r="G49" s="42"/>
      <c r="H49" s="23"/>
      <c r="I49" s="23"/>
      <c r="J49" s="23"/>
      <c r="K49" s="39"/>
      <c r="L49" s="39"/>
      <c r="M49" s="39"/>
      <c r="N49" s="42" t="str">
        <f t="shared" si="11"/>
        <v>CN</v>
      </c>
      <c r="O49" s="39"/>
      <c r="P49" s="39"/>
      <c r="Q49" s="23"/>
      <c r="R49" s="23"/>
      <c r="S49" s="23"/>
      <c r="T49" s="23"/>
      <c r="U49" s="42"/>
      <c r="V49" s="23"/>
      <c r="W49" s="23"/>
      <c r="X49" s="23"/>
      <c r="Y49" s="23"/>
      <c r="Z49" s="23"/>
      <c r="AA49" s="23"/>
      <c r="AB49" s="42"/>
      <c r="AC49" s="23" t="s">
        <v>26</v>
      </c>
      <c r="AD49" s="23" t="s">
        <v>26</v>
      </c>
      <c r="AE49" s="23" t="s">
        <v>26</v>
      </c>
      <c r="AF49" s="23" t="s">
        <v>26</v>
      </c>
      <c r="AG49" s="23" t="str">
        <f t="shared" si="12"/>
        <v/>
      </c>
      <c r="AH49" s="23" t="str">
        <f t="shared" si="12"/>
        <v/>
      </c>
      <c r="AI49" s="24">
        <f t="shared" si="6"/>
        <v>4</v>
      </c>
      <c r="AJ49" s="24">
        <f t="shared" si="7"/>
        <v>0</v>
      </c>
      <c r="AK49" s="41">
        <f>+'Chi tiết tăng ca'!AU47</f>
        <v>6.5</v>
      </c>
      <c r="AL49" s="41">
        <f>+'Chi tiết tăng ca'!AV47</f>
        <v>0</v>
      </c>
      <c r="AM49" s="41">
        <f t="shared" si="8"/>
        <v>0</v>
      </c>
      <c r="AN49" s="41">
        <f t="shared" si="9"/>
        <v>9.75</v>
      </c>
      <c r="AO49" s="41">
        <f t="shared" si="13"/>
        <v>0</v>
      </c>
    </row>
    <row r="50" spans="2:41" x14ac:dyDescent="0.25">
      <c r="B50" s="21">
        <v>45</v>
      </c>
      <c r="C50" s="28" t="s">
        <v>81</v>
      </c>
      <c r="D50" s="23"/>
      <c r="E50" s="23"/>
      <c r="F50" s="23"/>
      <c r="G50" s="42"/>
      <c r="H50" s="23"/>
      <c r="I50" s="23"/>
      <c r="J50" s="23"/>
      <c r="K50" s="39"/>
      <c r="L50" s="39"/>
      <c r="M50" s="39"/>
      <c r="N50" s="42" t="str">
        <f t="shared" si="11"/>
        <v>CN</v>
      </c>
      <c r="O50" s="39"/>
      <c r="P50" s="39"/>
      <c r="Q50" s="23"/>
      <c r="R50" s="23"/>
      <c r="S50" s="23"/>
      <c r="T50" s="23"/>
      <c r="U50" s="42"/>
      <c r="V50" s="23"/>
      <c r="W50" s="23" t="s">
        <v>26</v>
      </c>
      <c r="X50" s="23" t="s">
        <v>26</v>
      </c>
      <c r="Y50" s="23" t="s">
        <v>26</v>
      </c>
      <c r="Z50" s="23" t="s">
        <v>26</v>
      </c>
      <c r="AA50" s="23" t="s">
        <v>26</v>
      </c>
      <c r="AB50" s="42" t="s">
        <v>204</v>
      </c>
      <c r="AC50" s="23" t="s">
        <v>26</v>
      </c>
      <c r="AD50" s="23" t="s">
        <v>26</v>
      </c>
      <c r="AE50" s="23" t="s">
        <v>26</v>
      </c>
      <c r="AF50" s="23" t="s">
        <v>26</v>
      </c>
      <c r="AG50" s="23" t="str">
        <f t="shared" si="12"/>
        <v/>
      </c>
      <c r="AH50" s="23" t="str">
        <f t="shared" si="12"/>
        <v/>
      </c>
      <c r="AI50" s="24">
        <f t="shared" si="6"/>
        <v>9</v>
      </c>
      <c r="AJ50" s="24">
        <f t="shared" si="7"/>
        <v>0</v>
      </c>
      <c r="AK50" s="41">
        <f>+'Chi tiết tăng ca'!AU48</f>
        <v>1</v>
      </c>
      <c r="AL50" s="41">
        <f>+'Chi tiết tăng ca'!AV48</f>
        <v>0</v>
      </c>
      <c r="AM50" s="41">
        <f t="shared" si="8"/>
        <v>8</v>
      </c>
      <c r="AN50" s="41">
        <f>+AK50*1.5+AL50*1.8+AM50*2</f>
        <v>17.5</v>
      </c>
      <c r="AO50" s="41">
        <f t="shared" si="13"/>
        <v>0</v>
      </c>
    </row>
    <row r="51" spans="2:41" x14ac:dyDescent="0.25">
      <c r="B51" s="21">
        <v>46</v>
      </c>
      <c r="C51" s="28" t="s">
        <v>82</v>
      </c>
      <c r="D51" s="23"/>
      <c r="E51" s="23"/>
      <c r="F51" s="23"/>
      <c r="G51" s="42"/>
      <c r="H51" s="23"/>
      <c r="I51" s="23"/>
      <c r="J51" s="23"/>
      <c r="K51" s="39"/>
      <c r="L51" s="39"/>
      <c r="M51" s="39"/>
      <c r="N51" s="42" t="str">
        <f t="shared" si="11"/>
        <v>CN</v>
      </c>
      <c r="O51" s="39"/>
      <c r="P51" s="39"/>
      <c r="Q51" s="23"/>
      <c r="R51" s="23"/>
      <c r="S51" s="23"/>
      <c r="T51" s="23"/>
      <c r="U51" s="42"/>
      <c r="V51" s="23"/>
      <c r="W51" s="23"/>
      <c r="X51" s="23"/>
      <c r="Y51" s="23"/>
      <c r="Z51" s="23"/>
      <c r="AA51" s="23"/>
      <c r="AB51" s="42"/>
      <c r="AC51" s="23"/>
      <c r="AD51" s="23" t="s">
        <v>26</v>
      </c>
      <c r="AE51" s="23" t="s">
        <v>26</v>
      </c>
      <c r="AF51" s="23" t="s">
        <v>26</v>
      </c>
      <c r="AG51" s="23" t="str">
        <f t="shared" si="12"/>
        <v/>
      </c>
      <c r="AH51" s="23" t="str">
        <f t="shared" si="12"/>
        <v/>
      </c>
      <c r="AI51" s="24">
        <f t="shared" si="6"/>
        <v>3</v>
      </c>
      <c r="AJ51" s="24">
        <f t="shared" si="7"/>
        <v>0</v>
      </c>
      <c r="AK51" s="41">
        <f>+'Chi tiết tăng ca'!AU49</f>
        <v>11.5</v>
      </c>
      <c r="AL51" s="41">
        <f>+'Chi tiết tăng ca'!AV49</f>
        <v>0</v>
      </c>
      <c r="AM51" s="41">
        <f t="shared" si="8"/>
        <v>0</v>
      </c>
      <c r="AN51" s="41">
        <f t="shared" si="9"/>
        <v>17.25</v>
      </c>
      <c r="AO51" s="41">
        <f t="shared" si="13"/>
        <v>0</v>
      </c>
    </row>
    <row r="52" spans="2:41" x14ac:dyDescent="0.25">
      <c r="B52" s="21">
        <v>47</v>
      </c>
      <c r="C52" s="28" t="s">
        <v>83</v>
      </c>
      <c r="D52" s="23"/>
      <c r="E52" s="23"/>
      <c r="F52" s="23"/>
      <c r="G52" s="42"/>
      <c r="H52" s="23"/>
      <c r="I52" s="23"/>
      <c r="J52" s="23"/>
      <c r="K52" s="39"/>
      <c r="L52" s="39"/>
      <c r="M52" s="39"/>
      <c r="N52" s="42" t="str">
        <f t="shared" si="11"/>
        <v>CN</v>
      </c>
      <c r="O52" s="39"/>
      <c r="P52" s="39"/>
      <c r="Q52" s="23"/>
      <c r="R52" s="23"/>
      <c r="S52" s="23"/>
      <c r="T52" s="23"/>
      <c r="U52" s="42"/>
      <c r="V52" s="23"/>
      <c r="W52" s="23"/>
      <c r="X52" s="23"/>
      <c r="Y52" s="23"/>
      <c r="Z52" s="23"/>
      <c r="AA52" s="23"/>
      <c r="AB52" s="42"/>
      <c r="AC52" s="23" t="s">
        <v>26</v>
      </c>
      <c r="AD52" s="23" t="s">
        <v>26</v>
      </c>
      <c r="AE52" s="23" t="s">
        <v>26</v>
      </c>
      <c r="AF52" s="23" t="s">
        <v>26</v>
      </c>
      <c r="AG52" s="23" t="str">
        <f t="shared" ref="AG52:AH63" si="14">IF(OR(AG$3="",$C52=""),"",IF(WEEKDAY(AG$3,2)&gt;6,"CN","x"))</f>
        <v/>
      </c>
      <c r="AH52" s="23" t="str">
        <f t="shared" si="14"/>
        <v/>
      </c>
      <c r="AI52" s="24">
        <f t="shared" si="6"/>
        <v>4</v>
      </c>
      <c r="AJ52" s="24">
        <f t="shared" si="7"/>
        <v>0</v>
      </c>
      <c r="AK52" s="41">
        <f>+'Chi tiết tăng ca'!AU50</f>
        <v>18</v>
      </c>
      <c r="AL52" s="41">
        <f>+'Chi tiết tăng ca'!AV50</f>
        <v>1.5</v>
      </c>
      <c r="AM52" s="41">
        <f t="shared" si="8"/>
        <v>0</v>
      </c>
      <c r="AN52" s="41">
        <f t="shared" si="9"/>
        <v>29.7</v>
      </c>
      <c r="AO52" s="41">
        <f t="shared" si="13"/>
        <v>0</v>
      </c>
    </row>
    <row r="53" spans="2:41" x14ac:dyDescent="0.25">
      <c r="B53" s="21">
        <v>48</v>
      </c>
      <c r="C53" s="28" t="s">
        <v>84</v>
      </c>
      <c r="D53" s="23"/>
      <c r="E53" s="23"/>
      <c r="F53" s="23"/>
      <c r="G53" s="42"/>
      <c r="H53" s="23"/>
      <c r="I53" s="23"/>
      <c r="J53" s="23"/>
      <c r="K53" s="39"/>
      <c r="L53" s="39"/>
      <c r="M53" s="39"/>
      <c r="N53" s="42" t="str">
        <f t="shared" si="11"/>
        <v>CN</v>
      </c>
      <c r="O53" s="39"/>
      <c r="P53" s="39"/>
      <c r="Q53" s="23"/>
      <c r="R53" s="23"/>
      <c r="S53" s="23"/>
      <c r="T53" s="23"/>
      <c r="U53" s="42"/>
      <c r="V53" s="23"/>
      <c r="W53" s="23"/>
      <c r="X53" s="23"/>
      <c r="Y53" s="23"/>
      <c r="Z53" s="23"/>
      <c r="AA53" s="23"/>
      <c r="AB53" s="42"/>
      <c r="AC53" s="23" t="s">
        <v>26</v>
      </c>
      <c r="AD53" s="23" t="s">
        <v>26</v>
      </c>
      <c r="AE53" s="23" t="s">
        <v>26</v>
      </c>
      <c r="AF53" s="23" t="s">
        <v>26</v>
      </c>
      <c r="AG53" s="23" t="str">
        <f t="shared" si="14"/>
        <v/>
      </c>
      <c r="AH53" s="23" t="str">
        <f t="shared" si="14"/>
        <v/>
      </c>
      <c r="AI53" s="24">
        <f t="shared" si="6"/>
        <v>4</v>
      </c>
      <c r="AJ53" s="24">
        <f t="shared" si="7"/>
        <v>0</v>
      </c>
      <c r="AK53" s="41">
        <f>+'Chi tiết tăng ca'!AU51</f>
        <v>18</v>
      </c>
      <c r="AL53" s="41">
        <f>+'Chi tiết tăng ca'!AV51</f>
        <v>1.5</v>
      </c>
      <c r="AM53" s="41">
        <f t="shared" si="8"/>
        <v>0</v>
      </c>
      <c r="AN53" s="41">
        <f t="shared" si="9"/>
        <v>29.7</v>
      </c>
      <c r="AO53" s="41">
        <f t="shared" si="13"/>
        <v>0</v>
      </c>
    </row>
    <row r="54" spans="2:41" x14ac:dyDescent="0.25">
      <c r="B54" s="21">
        <v>49</v>
      </c>
      <c r="C54" s="28" t="s">
        <v>85</v>
      </c>
      <c r="D54" s="23"/>
      <c r="E54" s="23"/>
      <c r="F54" s="23"/>
      <c r="G54" s="42"/>
      <c r="H54" s="23"/>
      <c r="I54" s="23"/>
      <c r="J54" s="23"/>
      <c r="K54" s="39"/>
      <c r="L54" s="39"/>
      <c r="M54" s="39"/>
      <c r="N54" s="42" t="str">
        <f t="shared" si="11"/>
        <v>CN</v>
      </c>
      <c r="O54" s="39"/>
      <c r="P54" s="39"/>
      <c r="Q54" s="23"/>
      <c r="R54" s="23"/>
      <c r="S54" s="23"/>
      <c r="T54" s="23"/>
      <c r="U54" s="42"/>
      <c r="V54" s="23"/>
      <c r="W54" s="23"/>
      <c r="X54" s="23"/>
      <c r="Y54" s="23"/>
      <c r="Z54" s="23"/>
      <c r="AA54" s="23"/>
      <c r="AB54" s="42"/>
      <c r="AC54" s="23"/>
      <c r="AD54" s="23" t="s">
        <v>26</v>
      </c>
      <c r="AE54" s="23" t="s">
        <v>26</v>
      </c>
      <c r="AF54" s="23" t="s">
        <v>26</v>
      </c>
      <c r="AG54" s="23" t="str">
        <f t="shared" si="14"/>
        <v/>
      </c>
      <c r="AH54" s="23" t="str">
        <f t="shared" si="14"/>
        <v/>
      </c>
      <c r="AI54" s="24">
        <f t="shared" si="6"/>
        <v>3</v>
      </c>
      <c r="AJ54" s="24">
        <f t="shared" si="7"/>
        <v>0</v>
      </c>
      <c r="AK54" s="41">
        <f>+'Chi tiết tăng ca'!AU52</f>
        <v>9</v>
      </c>
      <c r="AL54" s="41">
        <f>+'Chi tiết tăng ca'!AV52</f>
        <v>0</v>
      </c>
      <c r="AM54" s="41">
        <f t="shared" si="8"/>
        <v>0</v>
      </c>
      <c r="AN54" s="41">
        <f t="shared" si="9"/>
        <v>13.5</v>
      </c>
      <c r="AO54" s="41">
        <f t="shared" si="13"/>
        <v>0</v>
      </c>
    </row>
    <row r="55" spans="2:41" x14ac:dyDescent="0.25">
      <c r="B55" s="21">
        <v>50</v>
      </c>
      <c r="C55" s="28" t="s">
        <v>86</v>
      </c>
      <c r="D55" s="23"/>
      <c r="E55" s="23"/>
      <c r="F55" s="23"/>
      <c r="G55" s="42"/>
      <c r="H55" s="23"/>
      <c r="I55" s="23"/>
      <c r="J55" s="23"/>
      <c r="K55" s="39"/>
      <c r="L55" s="39"/>
      <c r="M55" s="39"/>
      <c r="N55" s="42" t="str">
        <f t="shared" si="11"/>
        <v>CN</v>
      </c>
      <c r="O55" s="39"/>
      <c r="P55" s="39"/>
      <c r="Q55" s="23"/>
      <c r="R55" s="23"/>
      <c r="S55" s="23"/>
      <c r="T55" s="23"/>
      <c r="U55" s="42"/>
      <c r="V55" s="23"/>
      <c r="W55" s="23"/>
      <c r="X55" s="23"/>
      <c r="Y55" s="23"/>
      <c r="Z55" s="23"/>
      <c r="AA55" s="23"/>
      <c r="AB55" s="42"/>
      <c r="AC55" s="23" t="s">
        <v>26</v>
      </c>
      <c r="AD55" s="23" t="s">
        <v>26</v>
      </c>
      <c r="AE55" s="23" t="s">
        <v>26</v>
      </c>
      <c r="AF55" s="23"/>
      <c r="AG55" s="23" t="str">
        <f t="shared" si="14"/>
        <v/>
      </c>
      <c r="AH55" s="23" t="str">
        <f t="shared" si="14"/>
        <v/>
      </c>
      <c r="AI55" s="24">
        <f t="shared" si="6"/>
        <v>3</v>
      </c>
      <c r="AJ55" s="24">
        <f t="shared" si="7"/>
        <v>0</v>
      </c>
      <c r="AK55" s="41">
        <f>+'Chi tiết tăng ca'!AU53</f>
        <v>9.5</v>
      </c>
      <c r="AL55" s="41">
        <f>+'Chi tiết tăng ca'!AV53</f>
        <v>0</v>
      </c>
      <c r="AM55" s="41">
        <f t="shared" si="8"/>
        <v>0</v>
      </c>
      <c r="AN55" s="41">
        <f t="shared" si="9"/>
        <v>14.25</v>
      </c>
      <c r="AO55" s="41">
        <f t="shared" si="13"/>
        <v>0</v>
      </c>
    </row>
    <row r="56" spans="2:41" x14ac:dyDescent="0.25">
      <c r="B56" s="21">
        <v>51</v>
      </c>
      <c r="C56" s="28" t="s">
        <v>87</v>
      </c>
      <c r="D56" s="23"/>
      <c r="E56" s="23"/>
      <c r="F56" s="23"/>
      <c r="G56" s="42"/>
      <c r="H56" s="23"/>
      <c r="I56" s="23"/>
      <c r="J56" s="23"/>
      <c r="K56" s="39"/>
      <c r="L56" s="39"/>
      <c r="M56" s="39"/>
      <c r="N56" s="42" t="str">
        <f t="shared" si="11"/>
        <v>CN</v>
      </c>
      <c r="O56" s="39"/>
      <c r="P56" s="39"/>
      <c r="Q56" s="23"/>
      <c r="R56" s="23"/>
      <c r="S56" s="23"/>
      <c r="T56" s="23"/>
      <c r="U56" s="42"/>
      <c r="V56" s="23"/>
      <c r="W56" s="23"/>
      <c r="X56" s="23"/>
      <c r="Y56" s="23"/>
      <c r="Z56" s="23"/>
      <c r="AA56" s="23"/>
      <c r="AB56" s="42"/>
      <c r="AC56" s="23"/>
      <c r="AD56" s="23" t="s">
        <v>26</v>
      </c>
      <c r="AE56" s="23" t="s">
        <v>26</v>
      </c>
      <c r="AF56" s="23" t="s">
        <v>26</v>
      </c>
      <c r="AG56" s="23" t="str">
        <f t="shared" si="14"/>
        <v/>
      </c>
      <c r="AH56" s="23" t="str">
        <f t="shared" si="14"/>
        <v/>
      </c>
      <c r="AI56" s="24">
        <f t="shared" si="6"/>
        <v>3</v>
      </c>
      <c r="AJ56" s="24">
        <f t="shared" si="7"/>
        <v>0</v>
      </c>
      <c r="AK56" s="41">
        <f>+'Chi tiết tăng ca'!AU54</f>
        <v>9</v>
      </c>
      <c r="AL56" s="41">
        <f>+'Chi tiết tăng ca'!AV54</f>
        <v>0</v>
      </c>
      <c r="AM56" s="41">
        <f t="shared" si="8"/>
        <v>0</v>
      </c>
      <c r="AN56" s="41">
        <f t="shared" si="9"/>
        <v>13.5</v>
      </c>
      <c r="AO56" s="41">
        <f t="shared" si="13"/>
        <v>0</v>
      </c>
    </row>
    <row r="57" spans="2:41" x14ac:dyDescent="0.25">
      <c r="B57" s="21">
        <v>52</v>
      </c>
      <c r="C57" s="28" t="s">
        <v>88</v>
      </c>
      <c r="D57" s="23"/>
      <c r="E57" s="23"/>
      <c r="F57" s="23"/>
      <c r="G57" s="42"/>
      <c r="H57" s="23"/>
      <c r="I57" s="23"/>
      <c r="J57" s="23"/>
      <c r="K57" s="39"/>
      <c r="L57" s="39"/>
      <c r="M57" s="39"/>
      <c r="N57" s="42" t="str">
        <f t="shared" si="11"/>
        <v>CN</v>
      </c>
      <c r="O57" s="39"/>
      <c r="P57" s="39"/>
      <c r="Q57" s="23"/>
      <c r="R57" s="23"/>
      <c r="S57" s="23"/>
      <c r="T57" s="23"/>
      <c r="U57" s="42"/>
      <c r="V57" s="23"/>
      <c r="W57" s="23"/>
      <c r="X57" s="23" t="s">
        <v>26</v>
      </c>
      <c r="Y57" s="23" t="s">
        <v>26</v>
      </c>
      <c r="Z57" s="23" t="s">
        <v>26</v>
      </c>
      <c r="AA57" s="23" t="s">
        <v>26</v>
      </c>
      <c r="AB57" s="42"/>
      <c r="AC57" s="23" t="s">
        <v>26</v>
      </c>
      <c r="AD57" s="23" t="s">
        <v>26</v>
      </c>
      <c r="AE57" s="23" t="s">
        <v>26</v>
      </c>
      <c r="AF57" s="23" t="s">
        <v>26</v>
      </c>
      <c r="AG57" s="23" t="str">
        <f t="shared" si="14"/>
        <v/>
      </c>
      <c r="AH57" s="23" t="str">
        <f t="shared" si="14"/>
        <v/>
      </c>
      <c r="AI57" s="24">
        <f t="shared" si="6"/>
        <v>8</v>
      </c>
      <c r="AJ57" s="24">
        <f t="shared" si="7"/>
        <v>0</v>
      </c>
      <c r="AK57" s="41">
        <f>+'Chi tiết tăng ca'!AU55</f>
        <v>7</v>
      </c>
      <c r="AL57" s="41">
        <f>+'Chi tiết tăng ca'!AV55</f>
        <v>0</v>
      </c>
      <c r="AM57" s="41">
        <f t="shared" si="8"/>
        <v>0</v>
      </c>
      <c r="AN57" s="41">
        <f t="shared" si="9"/>
        <v>10.5</v>
      </c>
      <c r="AO57" s="41">
        <f t="shared" si="13"/>
        <v>0</v>
      </c>
    </row>
    <row r="58" spans="2:41" x14ac:dyDescent="0.25">
      <c r="B58" s="113">
        <v>53</v>
      </c>
      <c r="C58" s="114" t="s">
        <v>202</v>
      </c>
      <c r="D58" s="23"/>
      <c r="E58" s="23"/>
      <c r="F58" s="23"/>
      <c r="G58" s="42"/>
      <c r="H58" s="23"/>
      <c r="I58" s="23"/>
      <c r="J58" s="23"/>
      <c r="K58" s="39" t="s">
        <v>89</v>
      </c>
      <c r="L58" s="39" t="s">
        <v>89</v>
      </c>
      <c r="M58" s="39" t="s">
        <v>89</v>
      </c>
      <c r="N58" s="42" t="str">
        <f t="shared" si="11"/>
        <v>CN</v>
      </c>
      <c r="O58" s="39" t="s">
        <v>89</v>
      </c>
      <c r="P58" s="39" t="s">
        <v>89</v>
      </c>
      <c r="Q58" s="23" t="s">
        <v>26</v>
      </c>
      <c r="R58" s="23" t="s">
        <v>26</v>
      </c>
      <c r="S58" s="23" t="s">
        <v>26</v>
      </c>
      <c r="T58" s="23" t="s">
        <v>26</v>
      </c>
      <c r="U58" s="42"/>
      <c r="V58" s="23" t="s">
        <v>26</v>
      </c>
      <c r="W58" s="23" t="s">
        <v>26</v>
      </c>
      <c r="X58" s="23" t="s">
        <v>26</v>
      </c>
      <c r="Y58" s="23" t="s">
        <v>26</v>
      </c>
      <c r="Z58" s="23" t="s">
        <v>26</v>
      </c>
      <c r="AA58" s="23" t="s">
        <v>26</v>
      </c>
      <c r="AB58" s="42"/>
      <c r="AC58" s="23" t="s">
        <v>26</v>
      </c>
      <c r="AD58" s="23" t="s">
        <v>26</v>
      </c>
      <c r="AE58" s="23" t="s">
        <v>26</v>
      </c>
      <c r="AF58" s="23" t="s">
        <v>26</v>
      </c>
      <c r="AG58" s="115" t="str">
        <f t="shared" si="14"/>
        <v/>
      </c>
      <c r="AH58" s="115" t="str">
        <f t="shared" si="14"/>
        <v/>
      </c>
      <c r="AI58" s="24">
        <f>IF(C58="","",COUNTIF(D58:AH58,"x")+COUNTIF(D58:AH58,"x/2")*0.5)</f>
        <v>14</v>
      </c>
      <c r="AJ58" s="24">
        <f t="shared" ref="AJ58" si="15">+COUNTIF(D58:AF58,"P")</f>
        <v>0</v>
      </c>
      <c r="AK58" s="41">
        <f>+'Chi tiết tăng ca'!AU56</f>
        <v>0</v>
      </c>
      <c r="AL58" s="41">
        <f>+'Chi tiết tăng ca'!AV56</f>
        <v>0</v>
      </c>
      <c r="AM58" s="41">
        <f t="shared" ref="AM58" si="16">+G58+U58+AB58</f>
        <v>0</v>
      </c>
      <c r="AN58" s="41">
        <f t="shared" ref="AN58" si="17">+AK58*1.5+AL58*1.8+AM58*2</f>
        <v>0</v>
      </c>
      <c r="AO58" s="41">
        <f t="shared" si="13"/>
        <v>5</v>
      </c>
    </row>
    <row r="59" spans="2:41" ht="15.75" x14ac:dyDescent="0.25">
      <c r="B59" s="16"/>
      <c r="C59" s="16" t="s">
        <v>184</v>
      </c>
      <c r="D59" s="1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 t="str">
        <f t="shared" si="14"/>
        <v/>
      </c>
      <c r="AH59" s="18" t="str">
        <f t="shared" si="14"/>
        <v/>
      </c>
      <c r="AI59" s="19"/>
      <c r="AJ59" s="19"/>
      <c r="AK59" s="20"/>
      <c r="AL59" s="20"/>
      <c r="AM59" s="20"/>
      <c r="AN59" s="20"/>
      <c r="AO59" s="20"/>
    </row>
    <row r="60" spans="2:41" x14ac:dyDescent="0.25">
      <c r="B60" s="21">
        <v>1</v>
      </c>
      <c r="C60" s="28" t="s">
        <v>185</v>
      </c>
      <c r="D60" s="23" t="s">
        <v>26</v>
      </c>
      <c r="E60" s="23" t="s">
        <v>26</v>
      </c>
      <c r="F60" s="23" t="s">
        <v>26</v>
      </c>
      <c r="G60" s="42"/>
      <c r="H60" s="23" t="s">
        <v>26</v>
      </c>
      <c r="I60" s="23" t="s">
        <v>26</v>
      </c>
      <c r="J60" s="23" t="s">
        <v>26</v>
      </c>
      <c r="K60" s="39" t="s">
        <v>30</v>
      </c>
      <c r="L60" s="39" t="s">
        <v>30</v>
      </c>
      <c r="M60" s="39" t="s">
        <v>30</v>
      </c>
      <c r="N60" s="42" t="str">
        <f t="shared" si="11"/>
        <v>CN</v>
      </c>
      <c r="O60" s="39" t="s">
        <v>30</v>
      </c>
      <c r="P60" s="39" t="s">
        <v>30</v>
      </c>
      <c r="Q60" s="23" t="s">
        <v>26</v>
      </c>
      <c r="R60" s="23" t="s">
        <v>26</v>
      </c>
      <c r="S60" s="23" t="s">
        <v>26</v>
      </c>
      <c r="T60" s="23" t="s">
        <v>26</v>
      </c>
      <c r="U60" s="42" t="s">
        <v>32</v>
      </c>
      <c r="V60" s="23" t="s">
        <v>26</v>
      </c>
      <c r="W60" s="23" t="s">
        <v>26</v>
      </c>
      <c r="X60" s="23" t="s">
        <v>26</v>
      </c>
      <c r="Y60" s="23" t="s">
        <v>26</v>
      </c>
      <c r="Z60" s="23" t="s">
        <v>26</v>
      </c>
      <c r="AA60" s="23" t="s">
        <v>26</v>
      </c>
      <c r="AB60" s="42" t="s">
        <v>32</v>
      </c>
      <c r="AC60" s="23" t="s">
        <v>26</v>
      </c>
      <c r="AD60" s="23" t="s">
        <v>26</v>
      </c>
      <c r="AE60" s="23" t="s">
        <v>26</v>
      </c>
      <c r="AF60" s="23" t="s">
        <v>26</v>
      </c>
      <c r="AG60" s="23" t="str">
        <f t="shared" si="14"/>
        <v/>
      </c>
      <c r="AH60" s="23" t="str">
        <f t="shared" si="14"/>
        <v/>
      </c>
      <c r="AI60" s="24">
        <f>IF(C60="","",COUNTIF(D60:AH60,"x")+COUNTIF(D60:AH60,"L"))</f>
        <v>25</v>
      </c>
      <c r="AJ60" s="24">
        <f t="shared" ref="AJ60:AJ63" si="18">+COUNTIF(D60:AF60,"P")</f>
        <v>0</v>
      </c>
      <c r="AK60" s="41"/>
      <c r="AL60" s="41"/>
      <c r="AM60" s="41"/>
      <c r="AN60" s="41"/>
      <c r="AO60" s="41">
        <f t="shared" ref="AO60:AO63" si="19">+COUNTIF(F60:AH60,"T")</f>
        <v>0</v>
      </c>
    </row>
    <row r="61" spans="2:41" ht="15.75" x14ac:dyDescent="0.25">
      <c r="B61" s="21">
        <v>2</v>
      </c>
      <c r="C61" s="28" t="s">
        <v>186</v>
      </c>
      <c r="D61" s="23" t="s">
        <v>26</v>
      </c>
      <c r="E61" s="23" t="s">
        <v>26</v>
      </c>
      <c r="F61" s="23" t="s">
        <v>26</v>
      </c>
      <c r="G61" s="42"/>
      <c r="H61" s="23" t="s">
        <v>26</v>
      </c>
      <c r="I61" s="23" t="s">
        <v>26</v>
      </c>
      <c r="J61" s="23" t="s">
        <v>26</v>
      </c>
      <c r="K61" s="39"/>
      <c r="L61" s="39"/>
      <c r="M61" s="39"/>
      <c r="N61" s="42" t="str">
        <f t="shared" si="11"/>
        <v>CN</v>
      </c>
      <c r="O61" s="39"/>
      <c r="P61" s="39"/>
      <c r="Q61" s="23" t="s">
        <v>26</v>
      </c>
      <c r="R61" s="23" t="s">
        <v>26</v>
      </c>
      <c r="S61" s="90"/>
      <c r="T61" s="90"/>
      <c r="U61" s="42" t="s">
        <v>32</v>
      </c>
      <c r="V61" s="23" t="s">
        <v>26</v>
      </c>
      <c r="W61" s="90"/>
      <c r="X61" s="90"/>
      <c r="Y61" s="23" t="s">
        <v>26</v>
      </c>
      <c r="Z61" s="23" t="s">
        <v>26</v>
      </c>
      <c r="AA61" s="23" t="s">
        <v>26</v>
      </c>
      <c r="AB61" s="42" t="s">
        <v>32</v>
      </c>
      <c r="AC61" s="23" t="s">
        <v>26</v>
      </c>
      <c r="AD61" s="23" t="s">
        <v>26</v>
      </c>
      <c r="AE61" s="23" t="s">
        <v>26</v>
      </c>
      <c r="AF61" s="23" t="s">
        <v>26</v>
      </c>
      <c r="AG61" s="23" t="str">
        <f t="shared" si="14"/>
        <v/>
      </c>
      <c r="AH61" s="23" t="str">
        <f t="shared" si="14"/>
        <v/>
      </c>
      <c r="AI61" s="24">
        <f t="shared" ref="AI61:AI63" si="20">IF(C61="","",COUNTIF(D61:AH61,"x")+COUNTIF(D61:AH61,"x/2")*0.5)</f>
        <v>16</v>
      </c>
      <c r="AJ61" s="24">
        <f t="shared" si="18"/>
        <v>0</v>
      </c>
      <c r="AK61" s="41"/>
      <c r="AL61" s="41"/>
      <c r="AM61" s="41"/>
      <c r="AN61" s="41"/>
      <c r="AO61" s="41">
        <f t="shared" si="19"/>
        <v>0</v>
      </c>
    </row>
    <row r="62" spans="2:41" x14ac:dyDescent="0.25">
      <c r="B62" s="21">
        <v>3</v>
      </c>
      <c r="C62" s="28" t="s">
        <v>187</v>
      </c>
      <c r="D62" s="23" t="s">
        <v>26</v>
      </c>
      <c r="E62" s="23" t="s">
        <v>26</v>
      </c>
      <c r="F62" s="23" t="s">
        <v>26</v>
      </c>
      <c r="G62" s="42"/>
      <c r="H62" s="23" t="s">
        <v>26</v>
      </c>
      <c r="I62" s="23" t="s">
        <v>26</v>
      </c>
      <c r="J62" s="23" t="s">
        <v>26</v>
      </c>
      <c r="K62" s="39"/>
      <c r="L62" s="39"/>
      <c r="M62" s="39"/>
      <c r="N62" s="42" t="str">
        <f t="shared" si="11"/>
        <v>CN</v>
      </c>
      <c r="O62" s="39"/>
      <c r="P62" s="39"/>
      <c r="Q62" s="23" t="s">
        <v>26</v>
      </c>
      <c r="R62" s="23" t="s">
        <v>26</v>
      </c>
      <c r="S62" s="23" t="s">
        <v>26</v>
      </c>
      <c r="T62" s="23" t="s">
        <v>26</v>
      </c>
      <c r="U62" s="42" t="s">
        <v>32</v>
      </c>
      <c r="V62" s="23" t="s">
        <v>26</v>
      </c>
      <c r="W62" s="23" t="s">
        <v>26</v>
      </c>
      <c r="X62" s="23" t="s">
        <v>26</v>
      </c>
      <c r="Y62" s="23" t="s">
        <v>26</v>
      </c>
      <c r="Z62" s="23" t="s">
        <v>26</v>
      </c>
      <c r="AA62" s="23" t="s">
        <v>26</v>
      </c>
      <c r="AB62" s="42" t="s">
        <v>32</v>
      </c>
      <c r="AC62" s="23" t="s">
        <v>26</v>
      </c>
      <c r="AD62" s="23" t="s">
        <v>26</v>
      </c>
      <c r="AE62" s="23" t="s">
        <v>26</v>
      </c>
      <c r="AF62" s="23" t="s">
        <v>26</v>
      </c>
      <c r="AG62" s="23" t="str">
        <f t="shared" si="14"/>
        <v/>
      </c>
      <c r="AH62" s="23" t="str">
        <f t="shared" si="14"/>
        <v/>
      </c>
      <c r="AI62" s="24">
        <f>IF(C62="","",COUNTIF(D62:AH62,"x")+COUNTIF(D62:AH62,"x/2")*0.5)</f>
        <v>20</v>
      </c>
      <c r="AJ62" s="24">
        <f t="shared" si="18"/>
        <v>0</v>
      </c>
      <c r="AK62" s="41">
        <v>20</v>
      </c>
      <c r="AL62" s="41"/>
      <c r="AM62" s="41"/>
      <c r="AN62" s="41"/>
      <c r="AO62" s="41">
        <f t="shared" si="19"/>
        <v>0</v>
      </c>
    </row>
    <row r="63" spans="2:41" x14ac:dyDescent="0.25">
      <c r="B63" s="21">
        <v>4</v>
      </c>
      <c r="C63" s="28" t="s">
        <v>188</v>
      </c>
      <c r="D63" s="23"/>
      <c r="E63" s="23"/>
      <c r="F63" s="23"/>
      <c r="G63" s="42"/>
      <c r="H63" s="23"/>
      <c r="I63" s="23"/>
      <c r="J63" s="23"/>
      <c r="K63" s="39"/>
      <c r="L63" s="39"/>
      <c r="M63" s="39"/>
      <c r="N63" s="42" t="str">
        <f t="shared" si="11"/>
        <v>CN</v>
      </c>
      <c r="O63" s="39"/>
      <c r="P63" s="39"/>
      <c r="Q63" s="23"/>
      <c r="R63" s="23"/>
      <c r="S63" s="23"/>
      <c r="T63" s="23"/>
      <c r="U63" s="42" t="s">
        <v>32</v>
      </c>
      <c r="V63" s="23"/>
      <c r="W63" s="23"/>
      <c r="X63" s="23"/>
      <c r="Y63" s="23" t="s">
        <v>26</v>
      </c>
      <c r="Z63" s="23" t="s">
        <v>26</v>
      </c>
      <c r="AA63" s="23" t="s">
        <v>26</v>
      </c>
      <c r="AB63" s="42" t="s">
        <v>32</v>
      </c>
      <c r="AC63" s="23" t="s">
        <v>26</v>
      </c>
      <c r="AD63" s="23" t="s">
        <v>26</v>
      </c>
      <c r="AE63" s="23" t="s">
        <v>26</v>
      </c>
      <c r="AF63" s="23" t="s">
        <v>26</v>
      </c>
      <c r="AG63" s="23" t="str">
        <f t="shared" si="14"/>
        <v/>
      </c>
      <c r="AH63" s="23" t="str">
        <f t="shared" si="14"/>
        <v/>
      </c>
      <c r="AI63" s="24">
        <f t="shared" si="20"/>
        <v>7</v>
      </c>
      <c r="AJ63" s="24">
        <f t="shared" si="18"/>
        <v>0</v>
      </c>
      <c r="AK63" s="41"/>
      <c r="AL63" s="41"/>
      <c r="AM63" s="41"/>
      <c r="AN63" s="41"/>
      <c r="AO63" s="41">
        <f t="shared" si="19"/>
        <v>0</v>
      </c>
    </row>
    <row r="64" spans="2:41" ht="15.75" x14ac:dyDescent="0.25">
      <c r="B64" s="29"/>
      <c r="C64" s="29"/>
      <c r="D64" s="30" t="s">
        <v>25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2:36" ht="15.75" x14ac:dyDescent="0.25">
      <c r="B65" s="29"/>
      <c r="C65" s="29"/>
      <c r="D65" s="68" t="s">
        <v>26</v>
      </c>
      <c r="E65" s="30" t="s">
        <v>27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2:36" ht="15.75" x14ac:dyDescent="0.25">
      <c r="B66" s="29"/>
      <c r="C66" s="29"/>
      <c r="D66" s="90"/>
      <c r="E66" s="30" t="s">
        <v>28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2:36" ht="15.75" x14ac:dyDescent="0.25">
      <c r="B67" s="29"/>
      <c r="C67" s="29"/>
      <c r="D67" s="91" t="s">
        <v>8</v>
      </c>
      <c r="E67" s="30" t="s">
        <v>29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1"/>
      <c r="Z67" s="31"/>
      <c r="AA67" s="31"/>
      <c r="AB67" s="31"/>
      <c r="AC67" s="31"/>
      <c r="AD67" s="31"/>
      <c r="AE67" s="31"/>
      <c r="AF67" s="31"/>
      <c r="AG67" s="31"/>
      <c r="AH67" s="29"/>
      <c r="AI67" s="29"/>
      <c r="AJ67" s="29"/>
    </row>
    <row r="68" spans="2:36" ht="15.75" x14ac:dyDescent="0.25">
      <c r="B68" s="29"/>
      <c r="C68" s="29"/>
      <c r="D68" s="92" t="s">
        <v>30</v>
      </c>
      <c r="E68" s="30" t="s">
        <v>31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1"/>
      <c r="Z68" s="31"/>
      <c r="AA68" s="31"/>
      <c r="AB68" s="31"/>
      <c r="AC68" s="31"/>
      <c r="AD68" s="31"/>
      <c r="AE68" s="31"/>
      <c r="AF68" s="31"/>
      <c r="AG68" s="31"/>
      <c r="AH68" s="29"/>
      <c r="AI68" s="29"/>
      <c r="AJ68" s="29"/>
    </row>
    <row r="69" spans="2:36" ht="15.75" x14ac:dyDescent="0.25">
      <c r="B69" s="29"/>
      <c r="C69" s="29"/>
      <c r="D69" s="68" t="s">
        <v>32</v>
      </c>
      <c r="E69" s="30" t="s">
        <v>33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1"/>
      <c r="Z69" s="31"/>
      <c r="AA69" s="31"/>
      <c r="AB69" s="31"/>
      <c r="AC69" s="31"/>
      <c r="AD69" s="31"/>
      <c r="AE69" s="31"/>
      <c r="AF69" s="31"/>
      <c r="AG69" s="31"/>
      <c r="AH69" s="29"/>
      <c r="AI69" s="29"/>
      <c r="AJ69" s="29"/>
    </row>
    <row r="70" spans="2:36" ht="15.75" x14ac:dyDescent="0.25">
      <c r="B70" s="29"/>
      <c r="C70" s="29"/>
      <c r="D70" s="25" t="s">
        <v>90</v>
      </c>
      <c r="E70" s="30" t="s">
        <v>34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32"/>
      <c r="AD70" s="32"/>
      <c r="AE70" s="32"/>
      <c r="AF70" s="32"/>
      <c r="AG70" s="32"/>
      <c r="AH70" s="29"/>
      <c r="AI70" s="29"/>
      <c r="AJ70" s="29"/>
    </row>
    <row r="71" spans="2:36" ht="15.75" x14ac:dyDescent="0.25">
      <c r="B71" s="29"/>
      <c r="C71" s="29"/>
      <c r="D71" s="39" t="s">
        <v>89</v>
      </c>
      <c r="E71" s="30" t="s">
        <v>182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32"/>
      <c r="AD71" s="32"/>
      <c r="AE71" s="32"/>
      <c r="AF71" s="32"/>
      <c r="AG71" s="32"/>
      <c r="AH71" s="29"/>
      <c r="AI71" s="29"/>
      <c r="AJ71" s="29"/>
    </row>
    <row r="72" spans="2:36" ht="15.75" x14ac:dyDescent="0.25">
      <c r="B72" s="29"/>
      <c r="C72" s="2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32"/>
      <c r="AD72" s="32"/>
      <c r="AE72" s="32"/>
      <c r="AF72" s="32"/>
      <c r="AG72" s="32"/>
      <c r="AH72" s="29"/>
      <c r="AI72" s="29"/>
      <c r="AJ72" s="29"/>
    </row>
    <row r="73" spans="2:36" ht="15.75" x14ac:dyDescent="0.25">
      <c r="B73" s="29"/>
      <c r="C73" s="2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32"/>
      <c r="AD73" s="32"/>
      <c r="AE73" s="32"/>
      <c r="AF73" s="32"/>
      <c r="AG73" s="32"/>
      <c r="AH73" s="29"/>
      <c r="AI73" s="29"/>
      <c r="AJ73" s="29"/>
    </row>
    <row r="74" spans="2:36" ht="15.75" x14ac:dyDescent="0.25">
      <c r="B74" s="29"/>
      <c r="C74" s="2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32"/>
      <c r="AD74" s="32"/>
      <c r="AE74" s="32"/>
      <c r="AF74" s="32"/>
      <c r="AG74" s="32"/>
      <c r="AH74" s="29"/>
      <c r="AI74" s="29"/>
      <c r="AJ74" s="29"/>
    </row>
    <row r="75" spans="2:36" ht="15.75" x14ac:dyDescent="0.25">
      <c r="B75" s="29"/>
      <c r="C75" s="2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32"/>
      <c r="AD75" s="32"/>
      <c r="AE75" s="32"/>
      <c r="AF75" s="32"/>
      <c r="AG75" s="32"/>
      <c r="AH75" s="29"/>
      <c r="AI75" s="29"/>
      <c r="AJ75" s="29"/>
    </row>
    <row r="76" spans="2:36" ht="15.75" x14ac:dyDescent="0.25">
      <c r="B76" s="29"/>
      <c r="C76" s="2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32"/>
      <c r="AD76" s="32"/>
      <c r="AE76" s="32"/>
      <c r="AF76" s="32"/>
      <c r="AG76" s="32"/>
      <c r="AH76" s="29"/>
      <c r="AI76" s="29"/>
      <c r="AJ76" s="29"/>
    </row>
    <row r="77" spans="2:36" ht="15.75" x14ac:dyDescent="0.25">
      <c r="B77" s="29"/>
      <c r="C77" s="2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32"/>
      <c r="AD77" s="32"/>
      <c r="AE77" s="32"/>
      <c r="AF77" s="32"/>
      <c r="AG77" s="32"/>
      <c r="AH77" s="29"/>
      <c r="AI77" s="29"/>
      <c r="AJ77" s="29"/>
    </row>
    <row r="78" spans="2:36" x14ac:dyDescent="0.25">
      <c r="B78" s="29"/>
      <c r="C78" s="2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31" t="str">
        <f>"Ngày "&amp;DAY(EOMONTH(AP1,0))&amp;" Tháng "&amp;MONTH(AP1)&amp;" Năm "&amp;YEAR(AP1)</f>
        <v>Ngày 29 Tháng 2 Năm 2024</v>
      </c>
      <c r="Z78" s="1"/>
      <c r="AA78" s="1"/>
      <c r="AB78" s="1"/>
      <c r="AC78" s="29"/>
      <c r="AD78" s="29"/>
      <c r="AE78" s="29"/>
      <c r="AF78" s="29"/>
      <c r="AG78" s="29"/>
      <c r="AH78" s="29"/>
      <c r="AI78" s="29"/>
      <c r="AJ78" s="29"/>
    </row>
    <row r="79" spans="2:36" ht="15.75" x14ac:dyDescent="0.25">
      <c r="B79" s="29"/>
      <c r="C79" s="29"/>
      <c r="D79" s="29"/>
      <c r="E79" s="29"/>
      <c r="F79" s="187" t="s">
        <v>35</v>
      </c>
      <c r="G79" s="187"/>
      <c r="H79" s="187"/>
      <c r="I79" s="187"/>
      <c r="J79" s="187"/>
      <c r="K79" s="187"/>
      <c r="L79" s="32"/>
      <c r="M79" s="32"/>
      <c r="N79" s="32"/>
      <c r="O79" s="29"/>
      <c r="P79" s="29"/>
      <c r="Q79" s="29"/>
      <c r="R79" s="29"/>
      <c r="S79" s="29"/>
      <c r="T79" s="29"/>
      <c r="U79" s="29"/>
      <c r="V79" s="29"/>
      <c r="W79" s="187" t="s">
        <v>36</v>
      </c>
      <c r="X79" s="187"/>
      <c r="Y79" s="187"/>
      <c r="Z79" s="187"/>
      <c r="AA79" s="187"/>
      <c r="AB79" s="187"/>
      <c r="AC79" s="29"/>
      <c r="AD79" s="29"/>
      <c r="AE79" s="29"/>
      <c r="AF79" s="29"/>
      <c r="AG79" s="29"/>
      <c r="AH79" s="29"/>
      <c r="AI79" s="29"/>
      <c r="AJ79" s="29"/>
    </row>
    <row r="80" spans="2:36" x14ac:dyDescent="0.2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2:36" x14ac:dyDescent="0.2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2:36" x14ac:dyDescent="0.2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2:36" x14ac:dyDescent="0.25">
      <c r="B83" s="29"/>
      <c r="C83" s="29"/>
      <c r="D83" s="29"/>
      <c r="E83" s="29"/>
      <c r="F83" s="33"/>
      <c r="G83" s="33"/>
      <c r="H83" s="33"/>
      <c r="I83" s="33"/>
      <c r="J83" s="33"/>
      <c r="K83" s="33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33"/>
      <c r="X83" s="33"/>
      <c r="Y83" s="33"/>
      <c r="Z83" s="33"/>
      <c r="AA83" s="33"/>
      <c r="AB83" s="33"/>
      <c r="AC83" s="29"/>
      <c r="AD83" s="29"/>
      <c r="AE83" s="29"/>
      <c r="AF83" s="29"/>
      <c r="AG83" s="29"/>
      <c r="AH83" s="29"/>
      <c r="AI83" s="29"/>
      <c r="AJ83" s="29"/>
    </row>
    <row r="84" spans="2:36" x14ac:dyDescent="0.2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2:36" ht="15.75" x14ac:dyDescent="0.25">
      <c r="B85" s="29"/>
      <c r="C85" s="29"/>
      <c r="D85" s="29"/>
      <c r="E85" s="29"/>
      <c r="F85" s="188" t="s">
        <v>24</v>
      </c>
      <c r="G85" s="188"/>
      <c r="H85" s="188"/>
      <c r="I85" s="188"/>
      <c r="J85" s="188"/>
      <c r="K85" s="188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188" t="s">
        <v>183</v>
      </c>
      <c r="X85" s="188"/>
      <c r="Y85" s="188"/>
      <c r="Z85" s="188"/>
      <c r="AA85" s="188"/>
      <c r="AB85" s="188"/>
      <c r="AC85" s="29"/>
      <c r="AD85" s="29"/>
      <c r="AE85" s="29"/>
      <c r="AF85" s="29"/>
      <c r="AG85" s="29"/>
      <c r="AH85" s="29"/>
      <c r="AI85" s="29"/>
      <c r="AJ85" s="29"/>
    </row>
    <row r="86" spans="2:36" x14ac:dyDescent="0.2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2:36" x14ac:dyDescent="0.2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2:36" x14ac:dyDescent="0.25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2:36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2:36" ht="15.75" x14ac:dyDescent="0.25"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</row>
  </sheetData>
  <mergeCells count="10">
    <mergeCell ref="F79:K79"/>
    <mergeCell ref="W79:AB79"/>
    <mergeCell ref="F85:K85"/>
    <mergeCell ref="W85:AB85"/>
    <mergeCell ref="C1:AL1"/>
    <mergeCell ref="AP1:AR1"/>
    <mergeCell ref="B3:B4"/>
    <mergeCell ref="C3:C4"/>
    <mergeCell ref="AI3:AI4"/>
    <mergeCell ref="AK3:AO3"/>
  </mergeCells>
  <conditionalFormatting sqref="C8">
    <cfRule type="duplicateValues" dxfId="23" priority="10"/>
  </conditionalFormatting>
  <conditionalFormatting sqref="C10">
    <cfRule type="duplicateValues" dxfId="22" priority="12"/>
  </conditionalFormatting>
  <conditionalFormatting sqref="C11">
    <cfRule type="duplicateValues" dxfId="21" priority="8"/>
  </conditionalFormatting>
  <conditionalFormatting sqref="C36">
    <cfRule type="duplicateValues" dxfId="20" priority="5"/>
  </conditionalFormatting>
  <conditionalFormatting sqref="AK3:AK4">
    <cfRule type="expression" dxfId="19" priority="4" stopIfTrue="1">
      <formula>"weekdey(r2,u2,1)&gt;5"</formula>
    </cfRule>
  </conditionalFormatting>
  <conditionalFormatting sqref="AL4:AO4">
    <cfRule type="expression" dxfId="18" priority="1" stopIfTrue="1">
      <formula>"weekdey(r2,u2,1)&gt;5"</formula>
    </cfRule>
  </conditionalFormatting>
  <conditionalFormatting sqref="AP6:AP63">
    <cfRule type="uniqueValues" dxfId="17" priority="1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65"/>
  <sheetViews>
    <sheetView workbookViewId="0">
      <pane xSplit="3" ySplit="5" topLeftCell="T46" activePane="bottomRight" state="frozen"/>
      <selection activeCell="I6" sqref="I6:I7"/>
      <selection pane="topRight" activeCell="I6" sqref="I6:I7"/>
      <selection pane="bottomLeft" activeCell="I6" sqref="I6:I7"/>
      <selection pane="bottomRight" activeCell="V59" sqref="V59"/>
    </sheetView>
  </sheetViews>
  <sheetFormatPr defaultRowHeight="15" x14ac:dyDescent="0.25"/>
  <cols>
    <col min="1" max="1" width="6.28515625" customWidth="1"/>
    <col min="2" max="2" width="13.140625" customWidth="1"/>
    <col min="3" max="3" width="39.140625" customWidth="1"/>
    <col min="5" max="5" width="13.85546875" customWidth="1"/>
    <col min="6" max="6" width="13.28515625" bestFit="1" customWidth="1"/>
    <col min="7" max="7" width="11.5703125" bestFit="1" customWidth="1"/>
    <col min="8" max="8" width="10.7109375" customWidth="1"/>
    <col min="9" max="9" width="10.28515625" bestFit="1" customWidth="1"/>
    <col min="10" max="10" width="10.28515625" customWidth="1"/>
    <col min="11" max="11" width="12.140625" customWidth="1"/>
    <col min="12" max="12" width="13.28515625" customWidth="1"/>
    <col min="13" max="13" width="14.140625" customWidth="1"/>
    <col min="14" max="14" width="12" customWidth="1"/>
    <col min="15" max="15" width="12.42578125" customWidth="1"/>
    <col min="17" max="17" width="9.28515625" customWidth="1"/>
    <col min="18" max="18" width="11.28515625" customWidth="1"/>
    <col min="19" max="19" width="9.28515625" customWidth="1"/>
    <col min="21" max="21" width="11.42578125" customWidth="1"/>
    <col min="22" max="22" width="11" customWidth="1"/>
    <col min="23" max="23" width="14" style="87" customWidth="1"/>
    <col min="24" max="24" width="16.85546875" customWidth="1"/>
    <col min="25" max="25" width="10.28515625" bestFit="1" customWidth="1"/>
    <col min="26" max="26" width="11" customWidth="1"/>
    <col min="27" max="27" width="11.42578125" bestFit="1" customWidth="1"/>
    <col min="29" max="29" width="11.85546875" customWidth="1"/>
    <col min="31" max="31" width="10.7109375" customWidth="1"/>
    <col min="32" max="32" width="10.85546875" customWidth="1"/>
    <col min="33" max="33" width="13.7109375" customWidth="1"/>
    <col min="34" max="34" width="15" customWidth="1"/>
    <col min="35" max="35" width="10.5703125" customWidth="1"/>
    <col min="36" max="36" width="7" customWidth="1"/>
    <col min="37" max="37" width="12.85546875" customWidth="1"/>
    <col min="38" max="38" width="14.42578125" customWidth="1"/>
    <col min="39" max="39" width="31" hidden="1" customWidth="1"/>
  </cols>
  <sheetData>
    <row r="4" spans="1:39" s="53" customFormat="1" ht="19.5" customHeight="1" x14ac:dyDescent="0.25">
      <c r="A4" s="195" t="s">
        <v>3</v>
      </c>
      <c r="B4" s="197" t="s">
        <v>98</v>
      </c>
      <c r="C4" s="199" t="s">
        <v>93</v>
      </c>
      <c r="D4" s="197" t="s">
        <v>150</v>
      </c>
      <c r="E4" s="201" t="s">
        <v>151</v>
      </c>
      <c r="F4" s="203" t="s">
        <v>152</v>
      </c>
      <c r="G4" s="204"/>
      <c r="H4" s="204"/>
      <c r="I4" s="204"/>
      <c r="J4" s="204"/>
      <c r="K4" s="204"/>
      <c r="L4" s="205" t="s">
        <v>240</v>
      </c>
      <c r="M4" s="201" t="s">
        <v>177</v>
      </c>
      <c r="N4" s="207" t="s">
        <v>153</v>
      </c>
      <c r="O4" s="208"/>
      <c r="P4" s="209"/>
      <c r="Q4" s="207" t="s">
        <v>154</v>
      </c>
      <c r="R4" s="208"/>
      <c r="S4" s="208"/>
      <c r="T4" s="209"/>
      <c r="U4" s="190" t="s">
        <v>155</v>
      </c>
      <c r="V4" s="191"/>
      <c r="W4" s="192"/>
      <c r="X4" s="193" t="s">
        <v>156</v>
      </c>
      <c r="Y4" s="190" t="s">
        <v>157</v>
      </c>
      <c r="Z4" s="191"/>
      <c r="AA4" s="191"/>
      <c r="AB4" s="191"/>
      <c r="AC4" s="191"/>
      <c r="AD4" s="191"/>
      <c r="AE4" s="210" t="s">
        <v>240</v>
      </c>
      <c r="AF4" s="212" t="s">
        <v>158</v>
      </c>
      <c r="AG4" s="214" t="s">
        <v>159</v>
      </c>
      <c r="AH4" s="215"/>
      <c r="AI4" s="215"/>
      <c r="AJ4" s="216"/>
      <c r="AK4" s="217" t="s">
        <v>181</v>
      </c>
      <c r="AL4" s="219" t="s">
        <v>160</v>
      </c>
      <c r="AM4" s="211" t="s">
        <v>205</v>
      </c>
    </row>
    <row r="5" spans="1:39" s="57" customFormat="1" ht="34.5" customHeight="1" x14ac:dyDescent="0.25">
      <c r="A5" s="196"/>
      <c r="B5" s="198"/>
      <c r="C5" s="200"/>
      <c r="D5" s="198"/>
      <c r="E5" s="202"/>
      <c r="F5" s="116" t="s">
        <v>161</v>
      </c>
      <c r="G5" s="116" t="s">
        <v>162</v>
      </c>
      <c r="H5" s="116" t="s">
        <v>241</v>
      </c>
      <c r="I5" s="116" t="s">
        <v>231</v>
      </c>
      <c r="J5" s="116" t="s">
        <v>163</v>
      </c>
      <c r="K5" s="116" t="s">
        <v>164</v>
      </c>
      <c r="L5" s="206"/>
      <c r="M5" s="202"/>
      <c r="N5" s="55" t="s">
        <v>5</v>
      </c>
      <c r="O5" s="56" t="s">
        <v>165</v>
      </c>
      <c r="P5" s="55" t="s">
        <v>166</v>
      </c>
      <c r="Q5" s="85" t="s">
        <v>167</v>
      </c>
      <c r="R5" s="85" t="s">
        <v>168</v>
      </c>
      <c r="S5" s="85" t="s">
        <v>169</v>
      </c>
      <c r="T5" s="85" t="s">
        <v>170</v>
      </c>
      <c r="U5" s="86" t="s">
        <v>171</v>
      </c>
      <c r="V5" s="86" t="s">
        <v>172</v>
      </c>
      <c r="W5" s="86" t="s">
        <v>173</v>
      </c>
      <c r="X5" s="194"/>
      <c r="Y5" s="116" t="s">
        <v>161</v>
      </c>
      <c r="Z5" s="116" t="s">
        <v>162</v>
      </c>
      <c r="AA5" s="116" t="s">
        <v>230</v>
      </c>
      <c r="AB5" s="116" t="s">
        <v>231</v>
      </c>
      <c r="AC5" s="116" t="s">
        <v>163</v>
      </c>
      <c r="AD5" s="117" t="s">
        <v>164</v>
      </c>
      <c r="AE5" s="210"/>
      <c r="AF5" s="213"/>
      <c r="AG5" s="55" t="s">
        <v>174</v>
      </c>
      <c r="AH5" s="55" t="s">
        <v>198</v>
      </c>
      <c r="AI5" s="55" t="s">
        <v>199</v>
      </c>
      <c r="AJ5" s="55" t="s">
        <v>175</v>
      </c>
      <c r="AK5" s="218"/>
      <c r="AL5" s="220"/>
      <c r="AM5" s="211"/>
    </row>
    <row r="6" spans="1:39" s="57" customFormat="1" ht="15.75" x14ac:dyDescent="0.25">
      <c r="A6" s="38">
        <v>1</v>
      </c>
      <c r="B6" s="36" t="s">
        <v>99</v>
      </c>
      <c r="C6" s="36" t="s">
        <v>39</v>
      </c>
      <c r="D6" s="58">
        <v>26</v>
      </c>
      <c r="E6" s="54">
        <v>5500000</v>
      </c>
      <c r="F6" s="54">
        <v>500000</v>
      </c>
      <c r="G6" s="54"/>
      <c r="H6" s="54">
        <v>500000</v>
      </c>
      <c r="I6" s="54"/>
      <c r="J6" s="54"/>
      <c r="K6" s="54"/>
      <c r="L6" s="54"/>
      <c r="M6" s="54">
        <f>SUM(E6:L6)</f>
        <v>6500000</v>
      </c>
      <c r="N6" s="59">
        <f>+VLOOKUP('Bảng tính lương '!C6,'Ngày công'!$C$6:$AI$57,33,0)+12</f>
        <v>32</v>
      </c>
      <c r="O6" s="56">
        <f>+VLOOKUP(C6,'Ngày công'!$C$6:$AN$57,38,0)</f>
        <v>122.75</v>
      </c>
      <c r="P6" s="55">
        <f>+VLOOKUP('Bảng tính lương '!C6,'Ngày công'!$C$6:$AO$57,39,0)</f>
        <v>1</v>
      </c>
      <c r="Q6" s="55">
        <f>+VLOOKUP(C6,'Ngày công'!$C$6:$AJ$57,34,0)</f>
        <v>0</v>
      </c>
      <c r="R6" s="55"/>
      <c r="S6" s="55">
        <f>'[1]CHẤM CÔNG'!DS7</f>
        <v>0</v>
      </c>
      <c r="T6" s="55"/>
      <c r="U6" s="54">
        <f>E6/D6*N6</f>
        <v>6769230.769230769</v>
      </c>
      <c r="V6" s="54">
        <f>E6/D6/8*O6</f>
        <v>3245793.269230769</v>
      </c>
      <c r="W6" s="54">
        <f>E6/D6*P6*3</f>
        <v>634615.38461538462</v>
      </c>
      <c r="X6" s="54">
        <f>U6+V6+W6</f>
        <v>10649639.423076922</v>
      </c>
      <c r="Y6" s="54">
        <f>F6/D6*N6</f>
        <v>615384.61538461538</v>
      </c>
      <c r="Z6" s="54">
        <f>G6/D6*N6</f>
        <v>0</v>
      </c>
      <c r="AA6" s="59">
        <f>H6/D6*20</f>
        <v>384615.38461538462</v>
      </c>
      <c r="AB6" s="54">
        <f>I6/26*N6</f>
        <v>0</v>
      </c>
      <c r="AC6" s="54">
        <f>J6</f>
        <v>0</v>
      </c>
      <c r="AD6" s="54">
        <f>K6/D6*N6</f>
        <v>0</v>
      </c>
      <c r="AE6" s="54">
        <f>L6/D6*N6</f>
        <v>0</v>
      </c>
      <c r="AF6" s="60">
        <f>SUM(Y6:AE6)</f>
        <v>1000000</v>
      </c>
      <c r="AG6" s="60">
        <f>E6/D6/8*S6</f>
        <v>0</v>
      </c>
      <c r="AH6" s="55"/>
      <c r="AI6" s="55"/>
      <c r="AJ6" s="55"/>
      <c r="AK6" s="60">
        <f>SUM(AG6:AJ6)</f>
        <v>0</v>
      </c>
      <c r="AL6" s="61">
        <f>X6+AF6-AK6</f>
        <v>11649639.423076922</v>
      </c>
    </row>
    <row r="7" spans="1:39" s="57" customFormat="1" ht="15.75" x14ac:dyDescent="0.25">
      <c r="A7" s="38">
        <v>2</v>
      </c>
      <c r="B7" s="36" t="s">
        <v>100</v>
      </c>
      <c r="C7" s="36" t="s">
        <v>40</v>
      </c>
      <c r="D7" s="58">
        <v>26</v>
      </c>
      <c r="E7" s="54">
        <v>5500000</v>
      </c>
      <c r="F7" s="54">
        <v>500000</v>
      </c>
      <c r="G7" s="54"/>
      <c r="H7" s="54"/>
      <c r="I7" s="54"/>
      <c r="J7" s="54"/>
      <c r="K7" s="54"/>
      <c r="L7" s="54"/>
      <c r="M7" s="54">
        <f t="shared" ref="M7:M52" si="0">SUM(E7:L7)</f>
        <v>6000000</v>
      </c>
      <c r="N7" s="59">
        <f>+VLOOKUP('Bảng tính lương '!C7,'Ngày công'!$C$6:$AI$57,33,0)+12</f>
        <v>32</v>
      </c>
      <c r="O7" s="56">
        <f>+VLOOKUP(C7,'Ngày công'!$C$6:$AN$57,38,0)</f>
        <v>95.1</v>
      </c>
      <c r="P7" s="55">
        <f>+VLOOKUP('Bảng tính lương '!C7,'Ngày công'!$C$6:$AO$57,39,0)</f>
        <v>0</v>
      </c>
      <c r="Q7" s="55">
        <f>+VLOOKUP(C7,'Ngày công'!$C$6:$AJ$57,34,0)</f>
        <v>0</v>
      </c>
      <c r="R7" s="55"/>
      <c r="S7" s="55">
        <f>'[1]CHẤM CÔNG'!DS8</f>
        <v>2.5</v>
      </c>
      <c r="T7" s="55"/>
      <c r="U7" s="54">
        <f t="shared" ref="U7:U57" si="1">E7/D7*N7</f>
        <v>6769230.769230769</v>
      </c>
      <c r="V7" s="54">
        <f t="shared" ref="V7:V57" si="2">E7/D7/8*O7</f>
        <v>2514663.4615384615</v>
      </c>
      <c r="W7" s="54">
        <f t="shared" ref="W7:W57" si="3">E7/D7*P7*3</f>
        <v>0</v>
      </c>
      <c r="X7" s="54">
        <f t="shared" ref="X7:X56" si="4">U7+V7+W7</f>
        <v>9283894.2307692301</v>
      </c>
      <c r="Y7" s="54">
        <f t="shared" ref="Y7:Y57" si="5">F7/D7*N7</f>
        <v>615384.61538461538</v>
      </c>
      <c r="Z7" s="54">
        <f t="shared" ref="Z7:Z57" si="6">G7/D7*N7</f>
        <v>0</v>
      </c>
      <c r="AA7" s="54">
        <f t="shared" ref="AA7:AA57" si="7">H7/D7*N7</f>
        <v>0</v>
      </c>
      <c r="AB7" s="54">
        <f t="shared" ref="AB7:AB57" si="8">I7/26*N7</f>
        <v>0</v>
      </c>
      <c r="AC7" s="54">
        <f t="shared" ref="AC7:AC57" si="9">J7</f>
        <v>0</v>
      </c>
      <c r="AD7" s="54">
        <f t="shared" ref="AD7:AD57" si="10">K7/D7*N7</f>
        <v>0</v>
      </c>
      <c r="AE7" s="54">
        <f t="shared" ref="AE7:AE57" si="11">L7/D7*N7</f>
        <v>0</v>
      </c>
      <c r="AF7" s="60">
        <f t="shared" ref="AF7:AF57" si="12">SUM(Y7:AE7)</f>
        <v>615384.61538461538</v>
      </c>
      <c r="AG7" s="88">
        <f>E7/D7/8*S7</f>
        <v>66105.769230769234</v>
      </c>
      <c r="AH7" s="55"/>
      <c r="AI7" s="55"/>
      <c r="AJ7" s="55"/>
      <c r="AK7" s="60">
        <f t="shared" ref="AK7:AK57" si="13">SUM(AG7:AJ7)</f>
        <v>66105.769230769234</v>
      </c>
      <c r="AL7" s="61">
        <f t="shared" ref="AL7:AL58" si="14">X7+AF7-AK7</f>
        <v>9833173.0769230761</v>
      </c>
      <c r="AM7" s="57" t="s">
        <v>206</v>
      </c>
    </row>
    <row r="8" spans="1:39" s="57" customFormat="1" ht="15.75" x14ac:dyDescent="0.25">
      <c r="A8" s="38">
        <v>3</v>
      </c>
      <c r="B8" s="36" t="s">
        <v>101</v>
      </c>
      <c r="C8" s="36" t="s">
        <v>41</v>
      </c>
      <c r="D8" s="58">
        <v>26</v>
      </c>
      <c r="E8" s="54">
        <v>5500000</v>
      </c>
      <c r="F8" s="54">
        <v>500000</v>
      </c>
      <c r="G8" s="54"/>
      <c r="H8" s="54"/>
      <c r="I8" s="54"/>
      <c r="J8" s="54"/>
      <c r="K8" s="54"/>
      <c r="L8" s="54"/>
      <c r="M8" s="54">
        <f t="shared" si="0"/>
        <v>6000000</v>
      </c>
      <c r="N8" s="59">
        <f>+VLOOKUP('Bảng tính lương '!C8,'Ngày công'!$C$6:$AI$57,33,0)+12</f>
        <v>32</v>
      </c>
      <c r="O8" s="56">
        <f>+VLOOKUP(C8,'Ngày công'!$C$6:$AN$57,38,0)</f>
        <v>82.05</v>
      </c>
      <c r="P8" s="55">
        <f>+VLOOKUP('Bảng tính lương '!C8,'Ngày công'!$C$6:$AO$57,39,0)</f>
        <v>0</v>
      </c>
      <c r="Q8" s="55">
        <f>+VLOOKUP(C8,'Ngày công'!$C$6:$AJ$57,34,0)</f>
        <v>0</v>
      </c>
      <c r="R8" s="55"/>
      <c r="S8" s="55">
        <f>'[1]CHẤM CÔNG'!DS9</f>
        <v>0</v>
      </c>
      <c r="T8" s="55"/>
      <c r="U8" s="54">
        <f t="shared" si="1"/>
        <v>6769230.769230769</v>
      </c>
      <c r="V8" s="54">
        <f>E8/D8/8*O8</f>
        <v>2169591.346153846</v>
      </c>
      <c r="W8" s="54">
        <f t="shared" si="3"/>
        <v>0</v>
      </c>
      <c r="X8" s="54">
        <f t="shared" si="4"/>
        <v>8938822.115384616</v>
      </c>
      <c r="Y8" s="54">
        <f t="shared" si="5"/>
        <v>615384.61538461538</v>
      </c>
      <c r="Z8" s="54">
        <f t="shared" si="6"/>
        <v>0</v>
      </c>
      <c r="AA8" s="54">
        <f t="shared" si="7"/>
        <v>0</v>
      </c>
      <c r="AB8" s="54">
        <f t="shared" si="8"/>
        <v>0</v>
      </c>
      <c r="AC8" s="54">
        <f t="shared" si="9"/>
        <v>0</v>
      </c>
      <c r="AD8" s="54">
        <f t="shared" si="10"/>
        <v>0</v>
      </c>
      <c r="AE8" s="54">
        <f t="shared" si="11"/>
        <v>0</v>
      </c>
      <c r="AF8" s="60">
        <f t="shared" si="12"/>
        <v>615384.61538461538</v>
      </c>
      <c r="AG8" s="60">
        <f t="shared" ref="AG8:AG57" si="15">E8/D8/8*S8</f>
        <v>0</v>
      </c>
      <c r="AH8" s="55"/>
      <c r="AI8" s="55"/>
      <c r="AJ8" s="55"/>
      <c r="AK8" s="60">
        <f t="shared" si="13"/>
        <v>0</v>
      </c>
      <c r="AL8" s="61">
        <f t="shared" si="14"/>
        <v>9554206.7307692319</v>
      </c>
      <c r="AM8" s="57" t="s">
        <v>209</v>
      </c>
    </row>
    <row r="9" spans="1:39" s="57" customFormat="1" ht="15.75" x14ac:dyDescent="0.25">
      <c r="A9" s="38">
        <v>4</v>
      </c>
      <c r="B9" s="36" t="s">
        <v>102</v>
      </c>
      <c r="C9" s="36" t="s">
        <v>42</v>
      </c>
      <c r="D9" s="58">
        <v>26</v>
      </c>
      <c r="E9" s="54">
        <v>5500000</v>
      </c>
      <c r="F9" s="54">
        <v>500000</v>
      </c>
      <c r="G9" s="54">
        <v>200000</v>
      </c>
      <c r="H9" s="54"/>
      <c r="I9" s="54"/>
      <c r="J9" s="54"/>
      <c r="K9" s="54"/>
      <c r="L9" s="54"/>
      <c r="M9" s="54">
        <f t="shared" si="0"/>
        <v>6200000</v>
      </c>
      <c r="N9" s="59">
        <f>+VLOOKUP('Bảng tính lương '!C9,'Ngày công'!$C$6:$AI$57,33,0)</f>
        <v>15</v>
      </c>
      <c r="O9" s="56">
        <f>+VLOOKUP(C9,'Ngày công'!$C$6:$AN$57,38,0)</f>
        <v>67</v>
      </c>
      <c r="P9" s="55">
        <f>+VLOOKUP('Bảng tính lương '!C9,'Ngày công'!$C$6:$AO$57,39,0)</f>
        <v>0</v>
      </c>
      <c r="Q9" s="55">
        <f>+VLOOKUP(C9,'Ngày công'!$C$6:$AJ$57,34,0)</f>
        <v>3</v>
      </c>
      <c r="R9" s="55"/>
      <c r="S9" s="55">
        <f>'[1]CHẤM CÔNG'!DS10</f>
        <v>0</v>
      </c>
      <c r="T9" s="55"/>
      <c r="U9" s="54">
        <f t="shared" si="1"/>
        <v>3173076.923076923</v>
      </c>
      <c r="V9" s="54">
        <f t="shared" si="2"/>
        <v>1771634.6153846153</v>
      </c>
      <c r="W9" s="54">
        <f t="shared" si="3"/>
        <v>0</v>
      </c>
      <c r="X9" s="54">
        <f t="shared" si="4"/>
        <v>4944711.538461538</v>
      </c>
      <c r="Y9" s="54">
        <f t="shared" si="5"/>
        <v>288461.53846153844</v>
      </c>
      <c r="Z9" s="54">
        <f t="shared" si="6"/>
        <v>115384.61538461539</v>
      </c>
      <c r="AA9" s="54">
        <f t="shared" si="7"/>
        <v>0</v>
      </c>
      <c r="AB9" s="54">
        <f t="shared" si="8"/>
        <v>0</v>
      </c>
      <c r="AC9" s="54">
        <f t="shared" si="9"/>
        <v>0</v>
      </c>
      <c r="AD9" s="54">
        <f t="shared" si="10"/>
        <v>0</v>
      </c>
      <c r="AE9" s="54">
        <f t="shared" si="11"/>
        <v>0</v>
      </c>
      <c r="AF9" s="60">
        <f t="shared" si="12"/>
        <v>403846.15384615381</v>
      </c>
      <c r="AG9" s="60">
        <f t="shared" si="15"/>
        <v>0</v>
      </c>
      <c r="AH9" s="55"/>
      <c r="AI9" s="55"/>
      <c r="AJ9" s="55"/>
      <c r="AK9" s="60">
        <f t="shared" si="13"/>
        <v>0</v>
      </c>
      <c r="AL9" s="61">
        <f t="shared" si="14"/>
        <v>5348557.692307692</v>
      </c>
      <c r="AM9" s="67" t="s">
        <v>210</v>
      </c>
    </row>
    <row r="10" spans="1:39" s="67" customFormat="1" ht="15.75" x14ac:dyDescent="0.25">
      <c r="A10" s="62">
        <v>5</v>
      </c>
      <c r="B10" s="50" t="s">
        <v>103</v>
      </c>
      <c r="C10" s="50" t="s">
        <v>43</v>
      </c>
      <c r="D10" s="63">
        <v>26</v>
      </c>
      <c r="E10" s="64">
        <v>4450000</v>
      </c>
      <c r="F10" s="64"/>
      <c r="G10" s="64"/>
      <c r="H10" s="64"/>
      <c r="I10" s="64"/>
      <c r="J10" s="64"/>
      <c r="K10" s="64"/>
      <c r="L10" s="64"/>
      <c r="M10" s="64">
        <f>SUM(E10:L10)</f>
        <v>4450000</v>
      </c>
      <c r="N10" s="59">
        <f>+VLOOKUP('Bảng tính lương '!C10,'Ngày công'!$C$6:$AI$57,33,0)</f>
        <v>3</v>
      </c>
      <c r="O10" s="56">
        <f>+VLOOKUP(C10,'Ngày công'!$C$6:$AN$57,38,0)</f>
        <v>1.5</v>
      </c>
      <c r="P10" s="55">
        <f>+VLOOKUP('Bảng tính lương '!C10,'Ngày công'!$C$6:$AO$57,39,0)</f>
        <v>0</v>
      </c>
      <c r="Q10" s="55">
        <f>+VLOOKUP(C10,'Ngày công'!$C$6:$AJ$57,34,0)</f>
        <v>1</v>
      </c>
      <c r="R10" s="65"/>
      <c r="S10" s="65">
        <f>'[1]CHẤM CÔNG'!DS11</f>
        <v>0</v>
      </c>
      <c r="T10" s="65"/>
      <c r="U10" s="64">
        <f t="shared" si="1"/>
        <v>513461.5384615385</v>
      </c>
      <c r="V10" s="64">
        <f t="shared" si="2"/>
        <v>32091.346153846156</v>
      </c>
      <c r="W10" s="64">
        <f t="shared" si="3"/>
        <v>0</v>
      </c>
      <c r="X10" s="64">
        <f t="shared" si="4"/>
        <v>545552.88461538462</v>
      </c>
      <c r="Y10" s="64">
        <f t="shared" si="5"/>
        <v>0</v>
      </c>
      <c r="Z10" s="64">
        <f t="shared" si="6"/>
        <v>0</v>
      </c>
      <c r="AA10" s="64">
        <f t="shared" si="7"/>
        <v>0</v>
      </c>
      <c r="AB10" s="64">
        <f t="shared" si="8"/>
        <v>0</v>
      </c>
      <c r="AC10" s="64">
        <f t="shared" si="9"/>
        <v>0</v>
      </c>
      <c r="AD10" s="64">
        <f t="shared" si="10"/>
        <v>0</v>
      </c>
      <c r="AE10" s="64">
        <f t="shared" si="11"/>
        <v>0</v>
      </c>
      <c r="AF10" s="66">
        <f t="shared" si="12"/>
        <v>0</v>
      </c>
      <c r="AG10" s="66">
        <f t="shared" si="15"/>
        <v>0</v>
      </c>
      <c r="AH10" s="65"/>
      <c r="AI10" s="65"/>
      <c r="AJ10" s="65"/>
      <c r="AK10" s="66">
        <f t="shared" si="13"/>
        <v>0</v>
      </c>
      <c r="AL10" s="66">
        <f>X10+AF10-AK10</f>
        <v>545552.88461538462</v>
      </c>
      <c r="AM10" s="67" t="s">
        <v>217</v>
      </c>
    </row>
    <row r="11" spans="1:39" s="67" customFormat="1" ht="15.75" x14ac:dyDescent="0.25">
      <c r="A11" s="62">
        <v>6</v>
      </c>
      <c r="B11" s="50" t="s">
        <v>104</v>
      </c>
      <c r="C11" s="50" t="s">
        <v>44</v>
      </c>
      <c r="D11" s="63">
        <v>26</v>
      </c>
      <c r="E11" s="64">
        <v>4450000</v>
      </c>
      <c r="F11" s="64"/>
      <c r="G11" s="64"/>
      <c r="H11" s="64"/>
      <c r="I11" s="64"/>
      <c r="J11" s="64"/>
      <c r="K11" s="64"/>
      <c r="L11" s="64"/>
      <c r="M11" s="64">
        <f t="shared" si="0"/>
        <v>4450000</v>
      </c>
      <c r="N11" s="59">
        <f>+VLOOKUP('Bảng tính lương '!C11,'Ngày công'!$C$6:$AI$57,33,0)</f>
        <v>3</v>
      </c>
      <c r="O11" s="56">
        <f>+VLOOKUP(C11,'Ngày công'!$C$6:$AN$57,38,0)</f>
        <v>1.5</v>
      </c>
      <c r="P11" s="55">
        <f>+VLOOKUP('Bảng tính lương '!C11,'Ngày công'!$C$6:$AO$57,39,0)</f>
        <v>0</v>
      </c>
      <c r="Q11" s="55">
        <f>+VLOOKUP(C11,'Ngày công'!$C$6:$AJ$57,34,0)</f>
        <v>1</v>
      </c>
      <c r="R11" s="65"/>
      <c r="S11" s="65">
        <f>'[1]CHẤM CÔNG'!DS12</f>
        <v>0</v>
      </c>
      <c r="T11" s="65"/>
      <c r="U11" s="64">
        <f t="shared" si="1"/>
        <v>513461.5384615385</v>
      </c>
      <c r="V11" s="64">
        <f t="shared" si="2"/>
        <v>32091.346153846156</v>
      </c>
      <c r="W11" s="64">
        <f t="shared" si="3"/>
        <v>0</v>
      </c>
      <c r="X11" s="64">
        <f t="shared" si="4"/>
        <v>545552.88461538462</v>
      </c>
      <c r="Y11" s="64">
        <f t="shared" si="5"/>
        <v>0</v>
      </c>
      <c r="Z11" s="64">
        <f t="shared" si="6"/>
        <v>0</v>
      </c>
      <c r="AA11" s="64">
        <f t="shared" si="7"/>
        <v>0</v>
      </c>
      <c r="AB11" s="64">
        <f t="shared" si="8"/>
        <v>0</v>
      </c>
      <c r="AC11" s="64">
        <f t="shared" si="9"/>
        <v>0</v>
      </c>
      <c r="AD11" s="64">
        <f t="shared" si="10"/>
        <v>0</v>
      </c>
      <c r="AE11" s="64">
        <f t="shared" si="11"/>
        <v>0</v>
      </c>
      <c r="AF11" s="66">
        <f t="shared" si="12"/>
        <v>0</v>
      </c>
      <c r="AG11" s="66">
        <f t="shared" si="15"/>
        <v>0</v>
      </c>
      <c r="AH11" s="65"/>
      <c r="AI11" s="65"/>
      <c r="AJ11" s="65"/>
      <c r="AK11" s="66">
        <f t="shared" si="13"/>
        <v>0</v>
      </c>
      <c r="AL11" s="66">
        <f t="shared" si="14"/>
        <v>545552.88461538462</v>
      </c>
      <c r="AM11" s="67" t="s">
        <v>217</v>
      </c>
    </row>
    <row r="12" spans="1:39" s="57" customFormat="1" ht="15.75" x14ac:dyDescent="0.25">
      <c r="A12" s="38">
        <v>7</v>
      </c>
      <c r="B12" s="36" t="s">
        <v>105</v>
      </c>
      <c r="C12" s="36" t="s">
        <v>45</v>
      </c>
      <c r="D12" s="58">
        <v>26</v>
      </c>
      <c r="E12" s="54">
        <v>4450000</v>
      </c>
      <c r="F12" s="54">
        <v>500000</v>
      </c>
      <c r="G12" s="54">
        <v>250000</v>
      </c>
      <c r="H12" s="54"/>
      <c r="I12" s="54"/>
      <c r="J12" s="54"/>
      <c r="K12" s="54">
        <v>300000</v>
      </c>
      <c r="L12" s="54">
        <v>500000</v>
      </c>
      <c r="M12" s="54">
        <f t="shared" si="0"/>
        <v>6000000</v>
      </c>
      <c r="N12" s="59">
        <f>+VLOOKUP('Bảng tính lương '!C12,'Ngày công'!$C$6:$AI$57,33,0)</f>
        <v>18</v>
      </c>
      <c r="O12" s="56">
        <f>+VLOOKUP(C12,'Ngày công'!$C$6:$AN$57,38,0)</f>
        <v>24.25</v>
      </c>
      <c r="P12" s="55">
        <f>+VLOOKUP('Bảng tính lương '!C12,'Ngày công'!$C$6:$AO$57,39,0)</f>
        <v>0</v>
      </c>
      <c r="Q12" s="55">
        <f>+VLOOKUP(C12,'Ngày công'!$C$6:$AJ$57,34,0)</f>
        <v>2</v>
      </c>
      <c r="R12" s="55"/>
      <c r="S12" s="55">
        <f>'[1]CHẤM CÔNG'!DS13</f>
        <v>0</v>
      </c>
      <c r="T12" s="55"/>
      <c r="U12" s="54">
        <f t="shared" si="1"/>
        <v>3080769.230769231</v>
      </c>
      <c r="V12" s="54">
        <f t="shared" si="2"/>
        <v>518810.09615384619</v>
      </c>
      <c r="W12" s="54">
        <f t="shared" si="3"/>
        <v>0</v>
      </c>
      <c r="X12" s="54">
        <f t="shared" si="4"/>
        <v>3599579.326923077</v>
      </c>
      <c r="Y12" s="54">
        <f t="shared" si="5"/>
        <v>346153.84615384613</v>
      </c>
      <c r="Z12" s="54">
        <f t="shared" si="6"/>
        <v>173076.92307692306</v>
      </c>
      <c r="AA12" s="54">
        <f t="shared" si="7"/>
        <v>0</v>
      </c>
      <c r="AB12" s="54">
        <f t="shared" si="8"/>
        <v>0</v>
      </c>
      <c r="AC12" s="54">
        <f t="shared" si="9"/>
        <v>0</v>
      </c>
      <c r="AD12" s="54">
        <f>K12/D12*N12</f>
        <v>207692.30769230769</v>
      </c>
      <c r="AE12" s="54">
        <f>L12/D12*N12</f>
        <v>346153.84615384613</v>
      </c>
      <c r="AF12" s="60">
        <f t="shared" si="12"/>
        <v>1073076.923076923</v>
      </c>
      <c r="AG12" s="60">
        <f t="shared" si="15"/>
        <v>0</v>
      </c>
      <c r="AH12" s="55"/>
      <c r="AI12" s="55"/>
      <c r="AJ12" s="55"/>
      <c r="AK12" s="60">
        <f t="shared" si="13"/>
        <v>0</v>
      </c>
      <c r="AL12" s="61">
        <f t="shared" si="14"/>
        <v>4672656.25</v>
      </c>
      <c r="AM12" s="57" t="s">
        <v>212</v>
      </c>
    </row>
    <row r="13" spans="1:39" s="57" customFormat="1" ht="15.75" x14ac:dyDescent="0.25">
      <c r="A13" s="38">
        <v>8</v>
      </c>
      <c r="B13" s="36" t="s">
        <v>106</v>
      </c>
      <c r="C13" s="36" t="s">
        <v>46</v>
      </c>
      <c r="D13" s="58">
        <v>26</v>
      </c>
      <c r="E13" s="54">
        <v>4450000</v>
      </c>
      <c r="F13" s="54">
        <v>500000</v>
      </c>
      <c r="G13" s="54">
        <v>250000</v>
      </c>
      <c r="H13" s="54"/>
      <c r="I13" s="54"/>
      <c r="J13" s="54"/>
      <c r="K13" s="54">
        <v>300000</v>
      </c>
      <c r="L13" s="54">
        <v>500000</v>
      </c>
      <c r="M13" s="54">
        <f t="shared" si="0"/>
        <v>6000000</v>
      </c>
      <c r="N13" s="59">
        <f>+VLOOKUP('Bảng tính lương '!C13,'Ngày công'!$C$6:$AI$57,33,0)</f>
        <v>18.5</v>
      </c>
      <c r="O13" s="56">
        <f>+VLOOKUP(C13,'Ngày công'!$C$6:$AN$57,38,0)</f>
        <v>117</v>
      </c>
      <c r="P13" s="55">
        <f>+VLOOKUP('Bảng tính lương '!C13,'Ngày công'!$C$6:$AO$57,39,0)</f>
        <v>1</v>
      </c>
      <c r="Q13" s="55">
        <f>+VLOOKUP(C13,'Ngày công'!$C$6:$AJ$57,34,0)</f>
        <v>0</v>
      </c>
      <c r="R13" s="55"/>
      <c r="S13" s="55">
        <f>'[1]CHẤM CÔNG'!DS14</f>
        <v>0</v>
      </c>
      <c r="T13" s="55"/>
      <c r="U13" s="54">
        <f t="shared" si="1"/>
        <v>3166346.153846154</v>
      </c>
      <c r="V13" s="54">
        <f t="shared" si="2"/>
        <v>2503125</v>
      </c>
      <c r="W13" s="54">
        <f t="shared" si="3"/>
        <v>513461.5384615385</v>
      </c>
      <c r="X13" s="54">
        <f t="shared" si="4"/>
        <v>6182932.692307692</v>
      </c>
      <c r="Y13" s="54">
        <f t="shared" si="5"/>
        <v>355769.23076923075</v>
      </c>
      <c r="Z13" s="54">
        <f t="shared" si="6"/>
        <v>177884.61538461538</v>
      </c>
      <c r="AA13" s="54">
        <f t="shared" si="7"/>
        <v>0</v>
      </c>
      <c r="AB13" s="54">
        <f t="shared" si="8"/>
        <v>0</v>
      </c>
      <c r="AC13" s="54">
        <f t="shared" si="9"/>
        <v>0</v>
      </c>
      <c r="AD13" s="54">
        <f t="shared" si="10"/>
        <v>213461.53846153847</v>
      </c>
      <c r="AE13" s="54">
        <f t="shared" si="11"/>
        <v>355769.23076923075</v>
      </c>
      <c r="AF13" s="60">
        <f t="shared" si="12"/>
        <v>1102884.6153846155</v>
      </c>
      <c r="AG13" s="60">
        <f t="shared" si="15"/>
        <v>0</v>
      </c>
      <c r="AH13" s="55"/>
      <c r="AI13" s="55"/>
      <c r="AJ13" s="55"/>
      <c r="AK13" s="60">
        <f t="shared" si="13"/>
        <v>0</v>
      </c>
      <c r="AL13" s="61">
        <f t="shared" si="14"/>
        <v>7285817.307692308</v>
      </c>
      <c r="AM13" s="57" t="s">
        <v>211</v>
      </c>
    </row>
    <row r="14" spans="1:39" s="57" customFormat="1" ht="15.75" x14ac:dyDescent="0.25">
      <c r="A14" s="38">
        <v>9</v>
      </c>
      <c r="B14" s="36" t="s">
        <v>107</v>
      </c>
      <c r="C14" s="36" t="s">
        <v>47</v>
      </c>
      <c r="D14" s="58">
        <v>26</v>
      </c>
      <c r="E14" s="54">
        <v>4450000</v>
      </c>
      <c r="F14" s="54">
        <v>500000</v>
      </c>
      <c r="G14" s="54">
        <v>250000</v>
      </c>
      <c r="H14" s="54"/>
      <c r="I14" s="54"/>
      <c r="J14" s="54"/>
      <c r="K14" s="54">
        <v>300000</v>
      </c>
      <c r="L14" s="54">
        <v>500000</v>
      </c>
      <c r="M14" s="54">
        <f t="shared" si="0"/>
        <v>6000000</v>
      </c>
      <c r="N14" s="59">
        <f>+VLOOKUP('Bảng tính lương '!C14,'Ngày công'!$C$6:$AI$57,33,0)</f>
        <v>19.5</v>
      </c>
      <c r="O14" s="56">
        <f>+VLOOKUP(C14,'Ngày công'!$C$6:$AN$57,38,0)</f>
        <v>135.15</v>
      </c>
      <c r="P14" s="55">
        <f>+VLOOKUP('Bảng tính lương '!C14,'Ngày công'!$C$6:$AO$57,39,0)</f>
        <v>1</v>
      </c>
      <c r="Q14" s="55">
        <f>+VLOOKUP(C14,'Ngày công'!$C$6:$AJ$57,34,0)</f>
        <v>0</v>
      </c>
      <c r="R14" s="55"/>
      <c r="S14" s="55">
        <f>'[1]CHẤM CÔNG'!DS15</f>
        <v>0</v>
      </c>
      <c r="T14" s="55"/>
      <c r="U14" s="54">
        <f t="shared" si="1"/>
        <v>3337500</v>
      </c>
      <c r="V14" s="54">
        <f t="shared" si="2"/>
        <v>2891430.2884615385</v>
      </c>
      <c r="W14" s="54">
        <f t="shared" si="3"/>
        <v>513461.5384615385</v>
      </c>
      <c r="X14" s="54">
        <f t="shared" si="4"/>
        <v>6742391.8269230761</v>
      </c>
      <c r="Y14" s="54">
        <f t="shared" si="5"/>
        <v>375000</v>
      </c>
      <c r="Z14" s="54">
        <f t="shared" si="6"/>
        <v>187500</v>
      </c>
      <c r="AA14" s="54">
        <f t="shared" si="7"/>
        <v>0</v>
      </c>
      <c r="AB14" s="54">
        <f t="shared" si="8"/>
        <v>0</v>
      </c>
      <c r="AC14" s="54">
        <f t="shared" si="9"/>
        <v>0</v>
      </c>
      <c r="AD14" s="54">
        <f t="shared" si="10"/>
        <v>225000</v>
      </c>
      <c r="AE14" s="54">
        <f t="shared" si="11"/>
        <v>375000</v>
      </c>
      <c r="AF14" s="60">
        <f t="shared" si="12"/>
        <v>1162500</v>
      </c>
      <c r="AG14" s="60">
        <f t="shared" si="15"/>
        <v>0</v>
      </c>
      <c r="AH14" s="55"/>
      <c r="AI14" s="55"/>
      <c r="AJ14" s="55"/>
      <c r="AK14" s="60">
        <f t="shared" si="13"/>
        <v>0</v>
      </c>
      <c r="AL14" s="61">
        <f t="shared" si="14"/>
        <v>7904891.8269230761</v>
      </c>
      <c r="AM14" s="57" t="s">
        <v>216</v>
      </c>
    </row>
    <row r="15" spans="1:39" s="57" customFormat="1" ht="15.75" x14ac:dyDescent="0.25">
      <c r="A15" s="38">
        <v>10</v>
      </c>
      <c r="B15" s="36" t="s">
        <v>108</v>
      </c>
      <c r="C15" s="36" t="s">
        <v>48</v>
      </c>
      <c r="D15" s="58">
        <v>26</v>
      </c>
      <c r="E15" s="54">
        <v>4450000</v>
      </c>
      <c r="F15" s="54">
        <v>500000</v>
      </c>
      <c r="G15" s="54">
        <v>250000</v>
      </c>
      <c r="H15" s="54"/>
      <c r="I15" s="54"/>
      <c r="J15" s="54">
        <v>300000</v>
      </c>
      <c r="K15" s="54">
        <v>300000</v>
      </c>
      <c r="L15" s="54">
        <v>500000</v>
      </c>
      <c r="M15" s="54">
        <f>SUM(E15:L15)</f>
        <v>6300000</v>
      </c>
      <c r="N15" s="59">
        <f>+VLOOKUP('Bảng tính lương '!C15,'Ngày công'!$C$6:$AI$57,33,0)</f>
        <v>20</v>
      </c>
      <c r="O15" s="56">
        <f>+VLOOKUP(C15,'Ngày công'!$C$6:$AN$57,38,0)</f>
        <v>155.69999999999999</v>
      </c>
      <c r="P15" s="55">
        <f>+VLOOKUP('Bảng tính lương '!C15,'Ngày công'!$C$6:$AO$57,39,0)</f>
        <v>1</v>
      </c>
      <c r="Q15" s="55">
        <f>+VLOOKUP(C15,'Ngày công'!$C$6:$AJ$57,34,0)</f>
        <v>0</v>
      </c>
      <c r="R15" s="55"/>
      <c r="S15" s="55">
        <f>'[1]CHẤM CÔNG'!DS16</f>
        <v>0</v>
      </c>
      <c r="T15" s="55"/>
      <c r="U15" s="54">
        <f t="shared" si="1"/>
        <v>3423076.923076923</v>
      </c>
      <c r="V15" s="54">
        <f t="shared" si="2"/>
        <v>3331081.7307692305</v>
      </c>
      <c r="W15" s="54">
        <f t="shared" si="3"/>
        <v>513461.5384615385</v>
      </c>
      <c r="X15" s="54">
        <f t="shared" si="4"/>
        <v>7267620.192307692</v>
      </c>
      <c r="Y15" s="54">
        <f t="shared" si="5"/>
        <v>384615.38461538462</v>
      </c>
      <c r="Z15" s="54">
        <f t="shared" si="6"/>
        <v>192307.69230769231</v>
      </c>
      <c r="AA15" s="54">
        <f t="shared" si="7"/>
        <v>0</v>
      </c>
      <c r="AB15" s="54">
        <f t="shared" si="8"/>
        <v>0</v>
      </c>
      <c r="AC15" s="54">
        <f>J15</f>
        <v>300000</v>
      </c>
      <c r="AD15" s="54">
        <f t="shared" si="10"/>
        <v>230769.23076923078</v>
      </c>
      <c r="AE15" s="54">
        <f t="shared" si="11"/>
        <v>384615.38461538462</v>
      </c>
      <c r="AF15" s="60">
        <f t="shared" si="12"/>
        <v>1492307.6923076925</v>
      </c>
      <c r="AG15" s="60">
        <f t="shared" si="15"/>
        <v>0</v>
      </c>
      <c r="AH15" s="55"/>
      <c r="AI15" s="55"/>
      <c r="AJ15" s="55"/>
      <c r="AK15" s="60">
        <f t="shared" si="13"/>
        <v>0</v>
      </c>
      <c r="AL15" s="61">
        <f t="shared" si="14"/>
        <v>8759927.884615384</v>
      </c>
      <c r="AM15" s="57" t="s">
        <v>234</v>
      </c>
    </row>
    <row r="16" spans="1:39" s="57" customFormat="1" ht="15.75" x14ac:dyDescent="0.25">
      <c r="A16" s="38">
        <v>11</v>
      </c>
      <c r="B16" s="36" t="s">
        <v>109</v>
      </c>
      <c r="C16" s="36" t="s">
        <v>49</v>
      </c>
      <c r="D16" s="58">
        <v>26</v>
      </c>
      <c r="E16" s="54">
        <v>4450000</v>
      </c>
      <c r="F16" s="54">
        <v>500000</v>
      </c>
      <c r="G16" s="54">
        <v>250000</v>
      </c>
      <c r="H16" s="54"/>
      <c r="I16" s="54"/>
      <c r="J16" s="54"/>
      <c r="K16" s="54">
        <v>300000</v>
      </c>
      <c r="L16" s="54">
        <v>500000</v>
      </c>
      <c r="M16" s="54">
        <f>SUM(E16:L16)</f>
        <v>6000000</v>
      </c>
      <c r="N16" s="59">
        <f>+VLOOKUP('Bảng tính lương '!C16,'Ngày công'!$C$6:$AI$57,33,0)</f>
        <v>20</v>
      </c>
      <c r="O16" s="56">
        <f>+VLOOKUP(C16,'Ngày công'!$C$6:$AN$57,38,0)</f>
        <v>106.85</v>
      </c>
      <c r="P16" s="55">
        <f>+VLOOKUP('Bảng tính lương '!C16,'Ngày công'!$C$6:$AO$57,39,0)</f>
        <v>1</v>
      </c>
      <c r="Q16" s="55">
        <f>+VLOOKUP(C16,'Ngày công'!$C$6:$AJ$57,34,0)</f>
        <v>0</v>
      </c>
      <c r="R16" s="55"/>
      <c r="S16" s="55">
        <f>'[1]CHẤM CÔNG'!DS17</f>
        <v>0</v>
      </c>
      <c r="T16" s="55"/>
      <c r="U16" s="54">
        <f t="shared" si="1"/>
        <v>3423076.923076923</v>
      </c>
      <c r="V16" s="54">
        <f t="shared" si="2"/>
        <v>2285973.5576923075</v>
      </c>
      <c r="W16" s="54">
        <f t="shared" si="3"/>
        <v>513461.5384615385</v>
      </c>
      <c r="X16" s="54">
        <f t="shared" si="4"/>
        <v>6222512.0192307681</v>
      </c>
      <c r="Y16" s="54">
        <f t="shared" si="5"/>
        <v>384615.38461538462</v>
      </c>
      <c r="Z16" s="54">
        <f t="shared" si="6"/>
        <v>192307.69230769231</v>
      </c>
      <c r="AA16" s="54">
        <f t="shared" si="7"/>
        <v>0</v>
      </c>
      <c r="AB16" s="54">
        <f t="shared" si="8"/>
        <v>0</v>
      </c>
      <c r="AC16" s="54">
        <f t="shared" si="9"/>
        <v>0</v>
      </c>
      <c r="AD16" s="54">
        <f t="shared" si="10"/>
        <v>230769.23076923078</v>
      </c>
      <c r="AE16" s="54">
        <f t="shared" si="11"/>
        <v>384615.38461538462</v>
      </c>
      <c r="AF16" s="60">
        <f t="shared" si="12"/>
        <v>1192307.6923076925</v>
      </c>
      <c r="AG16" s="60">
        <f t="shared" si="15"/>
        <v>0</v>
      </c>
      <c r="AH16" s="55"/>
      <c r="AI16" s="55"/>
      <c r="AJ16" s="55"/>
      <c r="AK16" s="60">
        <f t="shared" si="13"/>
        <v>0</v>
      </c>
      <c r="AL16" s="61">
        <f t="shared" si="14"/>
        <v>7414819.7115384601</v>
      </c>
      <c r="AM16" s="57" t="s">
        <v>237</v>
      </c>
    </row>
    <row r="17" spans="1:39" s="57" customFormat="1" ht="15.75" x14ac:dyDescent="0.25">
      <c r="A17" s="38">
        <v>12</v>
      </c>
      <c r="B17" s="36" t="s">
        <v>110</v>
      </c>
      <c r="C17" s="36" t="s">
        <v>50</v>
      </c>
      <c r="D17" s="58">
        <v>26</v>
      </c>
      <c r="E17" s="54">
        <v>4450000</v>
      </c>
      <c r="F17" s="54">
        <v>500000</v>
      </c>
      <c r="G17" s="54">
        <v>250000</v>
      </c>
      <c r="H17" s="54">
        <v>500000</v>
      </c>
      <c r="I17" s="54"/>
      <c r="J17" s="54"/>
      <c r="K17" s="54">
        <v>300000</v>
      </c>
      <c r="L17" s="54">
        <v>500000</v>
      </c>
      <c r="M17" s="54">
        <f t="shared" si="0"/>
        <v>6500000</v>
      </c>
      <c r="N17" s="59">
        <f>+VLOOKUP('Bảng tính lương '!C17,'Ngày công'!$C$6:$AI$57,33,0)</f>
        <v>19</v>
      </c>
      <c r="O17" s="56">
        <f>+VLOOKUP(C17,'Ngày công'!$C$6:$AN$57,38,0)</f>
        <v>133.25</v>
      </c>
      <c r="P17" s="55">
        <f>+VLOOKUP('Bảng tính lương '!C17,'Ngày công'!$C$6:$AO$57,39,0)</f>
        <v>1</v>
      </c>
      <c r="Q17" s="55">
        <f>+VLOOKUP(C17,'Ngày công'!$C$6:$AJ$57,34,0)</f>
        <v>1</v>
      </c>
      <c r="R17" s="55"/>
      <c r="S17" s="55">
        <f>'[1]CHẤM CÔNG'!DS18</f>
        <v>0</v>
      </c>
      <c r="T17" s="55"/>
      <c r="U17" s="54">
        <f t="shared" si="1"/>
        <v>3251923.076923077</v>
      </c>
      <c r="V17" s="54">
        <f t="shared" si="2"/>
        <v>2850781.25</v>
      </c>
      <c r="W17" s="54">
        <f t="shared" si="3"/>
        <v>513461.5384615385</v>
      </c>
      <c r="X17" s="54">
        <f t="shared" si="4"/>
        <v>6616165.865384616</v>
      </c>
      <c r="Y17" s="54">
        <f t="shared" si="5"/>
        <v>365384.61538461538</v>
      </c>
      <c r="Z17" s="54">
        <f t="shared" si="6"/>
        <v>182692.30769230769</v>
      </c>
      <c r="AA17" s="54">
        <f>H17/D17*N17</f>
        <v>365384.61538461538</v>
      </c>
      <c r="AB17" s="54">
        <f t="shared" si="8"/>
        <v>0</v>
      </c>
      <c r="AC17" s="54">
        <f t="shared" si="9"/>
        <v>0</v>
      </c>
      <c r="AD17" s="54">
        <f t="shared" si="10"/>
        <v>219230.76923076925</v>
      </c>
      <c r="AE17" s="54">
        <f t="shared" si="11"/>
        <v>365384.61538461538</v>
      </c>
      <c r="AF17" s="60">
        <f t="shared" si="12"/>
        <v>1498076.923076923</v>
      </c>
      <c r="AG17" s="60">
        <f t="shared" si="15"/>
        <v>0</v>
      </c>
      <c r="AH17" s="55"/>
      <c r="AI17" s="55"/>
      <c r="AJ17" s="55"/>
      <c r="AK17" s="60">
        <f t="shared" si="13"/>
        <v>0</v>
      </c>
      <c r="AL17" s="61">
        <f t="shared" si="14"/>
        <v>8114242.788461539</v>
      </c>
    </row>
    <row r="18" spans="1:39" s="57" customFormat="1" ht="15.75" x14ac:dyDescent="0.25">
      <c r="A18" s="38">
        <v>13</v>
      </c>
      <c r="B18" s="36" t="s">
        <v>111</v>
      </c>
      <c r="C18" s="36" t="s">
        <v>51</v>
      </c>
      <c r="D18" s="58">
        <v>26</v>
      </c>
      <c r="E18" s="54">
        <v>4450000</v>
      </c>
      <c r="F18" s="54">
        <v>500000</v>
      </c>
      <c r="G18" s="54">
        <v>250000</v>
      </c>
      <c r="H18" s="54"/>
      <c r="I18" s="54"/>
      <c r="J18" s="54"/>
      <c r="K18" s="54">
        <v>300000</v>
      </c>
      <c r="L18" s="54">
        <v>500000</v>
      </c>
      <c r="M18" s="54">
        <f t="shared" si="0"/>
        <v>6000000</v>
      </c>
      <c r="N18" s="59">
        <f>+VLOOKUP('Bảng tính lương '!C18,'Ngày công'!$C$6:$AI$57,33,0)</f>
        <v>18</v>
      </c>
      <c r="O18" s="56">
        <f>+VLOOKUP(C18,'Ngày công'!$C$6:$AN$57,38,0)</f>
        <v>112.85</v>
      </c>
      <c r="P18" s="55">
        <f>+VLOOKUP('Bảng tính lương '!C18,'Ngày công'!$C$6:$AO$57,39,0)</f>
        <v>0</v>
      </c>
      <c r="Q18" s="55">
        <f>+VLOOKUP(C18,'Ngày công'!$C$6:$AJ$57,34,0)</f>
        <v>1</v>
      </c>
      <c r="R18" s="55"/>
      <c r="S18" s="55">
        <f>'[1]CHẤM CÔNG'!DS19</f>
        <v>0</v>
      </c>
      <c r="T18" s="55"/>
      <c r="U18" s="54">
        <f t="shared" si="1"/>
        <v>3080769.230769231</v>
      </c>
      <c r="V18" s="54">
        <f t="shared" si="2"/>
        <v>2414338.942307692</v>
      </c>
      <c r="W18" s="54">
        <f t="shared" si="3"/>
        <v>0</v>
      </c>
      <c r="X18" s="54">
        <f t="shared" si="4"/>
        <v>5495108.173076923</v>
      </c>
      <c r="Y18" s="54">
        <f t="shared" si="5"/>
        <v>346153.84615384613</v>
      </c>
      <c r="Z18" s="54">
        <f t="shared" si="6"/>
        <v>173076.92307692306</v>
      </c>
      <c r="AA18" s="54">
        <f t="shared" si="7"/>
        <v>0</v>
      </c>
      <c r="AB18" s="54">
        <f t="shared" si="8"/>
        <v>0</v>
      </c>
      <c r="AC18" s="54">
        <f t="shared" si="9"/>
        <v>0</v>
      </c>
      <c r="AD18" s="54">
        <f t="shared" si="10"/>
        <v>207692.30769230769</v>
      </c>
      <c r="AE18" s="54">
        <f t="shared" si="11"/>
        <v>346153.84615384613</v>
      </c>
      <c r="AF18" s="60">
        <f t="shared" si="12"/>
        <v>1073076.923076923</v>
      </c>
      <c r="AG18" s="60">
        <f t="shared" si="15"/>
        <v>0</v>
      </c>
      <c r="AH18" s="55"/>
      <c r="AI18" s="55"/>
      <c r="AJ18" s="55"/>
      <c r="AK18" s="60">
        <f t="shared" si="13"/>
        <v>0</v>
      </c>
      <c r="AL18" s="61">
        <f t="shared" si="14"/>
        <v>6568185.096153846</v>
      </c>
      <c r="AM18" s="57" t="s">
        <v>215</v>
      </c>
    </row>
    <row r="19" spans="1:39" s="57" customFormat="1" ht="15" customHeight="1" x14ac:dyDescent="0.25">
      <c r="A19" s="38">
        <v>14</v>
      </c>
      <c r="B19" s="36" t="s">
        <v>112</v>
      </c>
      <c r="C19" s="36" t="s">
        <v>52</v>
      </c>
      <c r="D19" s="58">
        <v>26</v>
      </c>
      <c r="E19" s="54">
        <v>4450000</v>
      </c>
      <c r="F19" s="54">
        <v>500000</v>
      </c>
      <c r="G19" s="54">
        <v>250000</v>
      </c>
      <c r="H19" s="54"/>
      <c r="I19" s="54"/>
      <c r="J19" s="54">
        <v>300000</v>
      </c>
      <c r="K19" s="54">
        <v>300000</v>
      </c>
      <c r="L19" s="54">
        <v>500000</v>
      </c>
      <c r="M19" s="54">
        <f t="shared" si="0"/>
        <v>6300000</v>
      </c>
      <c r="N19" s="59">
        <f>+VLOOKUP('Bảng tính lương '!C19,'Ngày công'!$C$6:$AI$57,33,0)</f>
        <v>20</v>
      </c>
      <c r="O19" s="56">
        <f>+VLOOKUP(C19,'Ngày công'!$C$6:$AN$57,38,0)</f>
        <v>123</v>
      </c>
      <c r="P19" s="55">
        <f>+VLOOKUP('Bảng tính lương '!C19,'Ngày công'!$C$6:$AO$57,39,0)</f>
        <v>1</v>
      </c>
      <c r="Q19" s="55">
        <f>+VLOOKUP(C19,'Ngày công'!$C$6:$AJ$57,34,0)</f>
        <v>0</v>
      </c>
      <c r="R19" s="55"/>
      <c r="S19" s="55">
        <f>'[1]CHẤM CÔNG'!DS20</f>
        <v>0</v>
      </c>
      <c r="T19" s="55"/>
      <c r="U19" s="54">
        <f t="shared" si="1"/>
        <v>3423076.923076923</v>
      </c>
      <c r="V19" s="54">
        <f t="shared" si="2"/>
        <v>2631490.3846153845</v>
      </c>
      <c r="W19" s="54">
        <f t="shared" si="3"/>
        <v>513461.5384615385</v>
      </c>
      <c r="X19" s="54">
        <f t="shared" si="4"/>
        <v>6568028.846153846</v>
      </c>
      <c r="Y19" s="54">
        <f t="shared" si="5"/>
        <v>384615.38461538462</v>
      </c>
      <c r="Z19" s="54">
        <f t="shared" si="6"/>
        <v>192307.69230769231</v>
      </c>
      <c r="AA19" s="54">
        <f t="shared" si="7"/>
        <v>0</v>
      </c>
      <c r="AB19" s="54">
        <f t="shared" si="8"/>
        <v>0</v>
      </c>
      <c r="AC19" s="54">
        <f t="shared" si="9"/>
        <v>300000</v>
      </c>
      <c r="AD19" s="54">
        <f t="shared" si="10"/>
        <v>230769.23076923078</v>
      </c>
      <c r="AE19" s="54">
        <f t="shared" si="11"/>
        <v>384615.38461538462</v>
      </c>
      <c r="AF19" s="60">
        <f t="shared" si="12"/>
        <v>1492307.6923076925</v>
      </c>
      <c r="AG19" s="60">
        <f t="shared" si="15"/>
        <v>0</v>
      </c>
      <c r="AH19" s="55"/>
      <c r="AI19" s="55"/>
      <c r="AJ19" s="55"/>
      <c r="AK19" s="60">
        <f t="shared" si="13"/>
        <v>0</v>
      </c>
      <c r="AL19" s="61">
        <f t="shared" si="14"/>
        <v>8060336.538461538</v>
      </c>
      <c r="AM19" s="57" t="s">
        <v>214</v>
      </c>
    </row>
    <row r="20" spans="1:39" s="57" customFormat="1" ht="15.75" x14ac:dyDescent="0.25">
      <c r="A20" s="38">
        <v>15</v>
      </c>
      <c r="B20" s="36" t="s">
        <v>113</v>
      </c>
      <c r="C20" s="36" t="s">
        <v>53</v>
      </c>
      <c r="D20" s="58">
        <v>26</v>
      </c>
      <c r="E20" s="54">
        <v>4450000</v>
      </c>
      <c r="F20" s="54">
        <v>500000</v>
      </c>
      <c r="G20" s="54">
        <v>250000</v>
      </c>
      <c r="H20" s="54"/>
      <c r="I20" s="54"/>
      <c r="J20" s="54"/>
      <c r="K20" s="54">
        <v>300000</v>
      </c>
      <c r="L20" s="54">
        <v>500000</v>
      </c>
      <c r="M20" s="54">
        <f t="shared" si="0"/>
        <v>6000000</v>
      </c>
      <c r="N20" s="59">
        <f>+VLOOKUP('Bảng tính lương '!C20,'Ngày công'!$C$6:$AI$57,33,0)</f>
        <v>18.5</v>
      </c>
      <c r="O20" s="56">
        <f>+VLOOKUP(C20,'Ngày công'!$C$6:$AN$57,38,0)</f>
        <v>22.5</v>
      </c>
      <c r="P20" s="55">
        <f>+VLOOKUP('Bảng tính lương '!C20,'Ngày công'!$C$6:$AO$57,39,0)</f>
        <v>0</v>
      </c>
      <c r="Q20" s="55">
        <f>+VLOOKUP(C20,'Ngày công'!$C$6:$AJ$57,34,0)</f>
        <v>0</v>
      </c>
      <c r="R20" s="55"/>
      <c r="S20" s="55">
        <f>'[1]CHẤM CÔNG'!DS21</f>
        <v>0</v>
      </c>
      <c r="T20" s="55"/>
      <c r="U20" s="54">
        <f t="shared" si="1"/>
        <v>3166346.153846154</v>
      </c>
      <c r="V20" s="54">
        <f t="shared" si="2"/>
        <v>481370.19230769231</v>
      </c>
      <c r="W20" s="54">
        <f t="shared" si="3"/>
        <v>0</v>
      </c>
      <c r="X20" s="54">
        <f t="shared" si="4"/>
        <v>3647716.3461538465</v>
      </c>
      <c r="Y20" s="54">
        <f t="shared" si="5"/>
        <v>355769.23076923075</v>
      </c>
      <c r="Z20" s="54">
        <f t="shared" si="6"/>
        <v>177884.61538461538</v>
      </c>
      <c r="AA20" s="54">
        <f t="shared" si="7"/>
        <v>0</v>
      </c>
      <c r="AB20" s="54">
        <f t="shared" si="8"/>
        <v>0</v>
      </c>
      <c r="AC20" s="54">
        <f t="shared" si="9"/>
        <v>0</v>
      </c>
      <c r="AD20" s="54">
        <f t="shared" si="10"/>
        <v>213461.53846153847</v>
      </c>
      <c r="AE20" s="54">
        <f t="shared" si="11"/>
        <v>355769.23076923075</v>
      </c>
      <c r="AF20" s="60">
        <f t="shared" si="12"/>
        <v>1102884.6153846155</v>
      </c>
      <c r="AG20" s="60">
        <f t="shared" si="15"/>
        <v>0</v>
      </c>
      <c r="AH20" s="55"/>
      <c r="AI20" s="55"/>
      <c r="AJ20" s="55"/>
      <c r="AK20" s="60">
        <f t="shared" si="13"/>
        <v>0</v>
      </c>
      <c r="AL20" s="61">
        <f t="shared" si="14"/>
        <v>4750600.961538462</v>
      </c>
      <c r="AM20" s="57" t="s">
        <v>239</v>
      </c>
    </row>
    <row r="21" spans="1:39" s="57" customFormat="1" ht="15.75" x14ac:dyDescent="0.25">
      <c r="A21" s="38">
        <v>16</v>
      </c>
      <c r="B21" s="36" t="s">
        <v>114</v>
      </c>
      <c r="C21" s="36" t="s">
        <v>54</v>
      </c>
      <c r="D21" s="58">
        <v>26</v>
      </c>
      <c r="E21" s="54">
        <v>4450000</v>
      </c>
      <c r="F21" s="54">
        <v>500000</v>
      </c>
      <c r="G21" s="54">
        <v>250000</v>
      </c>
      <c r="H21" s="54">
        <v>500000</v>
      </c>
      <c r="I21" s="54"/>
      <c r="J21" s="54"/>
      <c r="K21" s="54">
        <v>300000</v>
      </c>
      <c r="L21" s="54">
        <v>500000</v>
      </c>
      <c r="M21" s="54">
        <f t="shared" si="0"/>
        <v>6500000</v>
      </c>
      <c r="N21" s="59">
        <f>+VLOOKUP('Bảng tính lương '!C21,'Ngày công'!$C$6:$AI$57,33,0)</f>
        <v>10.5</v>
      </c>
      <c r="O21" s="56">
        <f>+VLOOKUP(C21,'Ngày công'!$C$6:$AN$57,38,0)</f>
        <v>99.05</v>
      </c>
      <c r="P21" s="55">
        <f>+VLOOKUP('Bảng tính lương '!C21,'Ngày công'!$C$6:$AO$57,39,0)</f>
        <v>1</v>
      </c>
      <c r="Q21" s="55">
        <f>+VLOOKUP(C21,'Ngày công'!$C$6:$AJ$57,34,0)</f>
        <v>9</v>
      </c>
      <c r="R21" s="55"/>
      <c r="S21" s="55">
        <f>'[1]CHẤM CÔNG'!DS22</f>
        <v>0</v>
      </c>
      <c r="T21" s="55"/>
      <c r="U21" s="54">
        <f t="shared" si="1"/>
        <v>1797115.3846153847</v>
      </c>
      <c r="V21" s="54">
        <f t="shared" si="2"/>
        <v>2119098.5576923075</v>
      </c>
      <c r="W21" s="54">
        <f t="shared" si="3"/>
        <v>513461.5384615385</v>
      </c>
      <c r="X21" s="54">
        <f t="shared" si="4"/>
        <v>4429675.4807692301</v>
      </c>
      <c r="Y21" s="54">
        <f t="shared" si="5"/>
        <v>201923.07692307691</v>
      </c>
      <c r="Z21" s="54">
        <f t="shared" si="6"/>
        <v>100961.53846153845</v>
      </c>
      <c r="AA21" s="54">
        <f>H21/D21*N21</f>
        <v>201923.07692307691</v>
      </c>
      <c r="AB21" s="54">
        <f t="shared" si="8"/>
        <v>0</v>
      </c>
      <c r="AC21" s="54">
        <f t="shared" si="9"/>
        <v>0</v>
      </c>
      <c r="AD21" s="54">
        <f t="shared" si="10"/>
        <v>121153.84615384616</v>
      </c>
      <c r="AE21" s="54">
        <f t="shared" si="11"/>
        <v>201923.07692307691</v>
      </c>
      <c r="AF21" s="60">
        <f t="shared" si="12"/>
        <v>827884.61538461526</v>
      </c>
      <c r="AG21" s="60">
        <f t="shared" si="15"/>
        <v>0</v>
      </c>
      <c r="AH21" s="55"/>
      <c r="AI21" s="55"/>
      <c r="AJ21" s="55"/>
      <c r="AK21" s="60">
        <f t="shared" si="13"/>
        <v>0</v>
      </c>
      <c r="AL21" s="61">
        <f t="shared" si="14"/>
        <v>5257560.0961538451</v>
      </c>
      <c r="AM21" s="57" t="s">
        <v>238</v>
      </c>
    </row>
    <row r="22" spans="1:39" s="67" customFormat="1" ht="15.75" x14ac:dyDescent="0.25">
      <c r="A22" s="62">
        <v>17</v>
      </c>
      <c r="B22" s="50" t="s">
        <v>115</v>
      </c>
      <c r="C22" s="50" t="s">
        <v>55</v>
      </c>
      <c r="D22" s="63">
        <v>26</v>
      </c>
      <c r="E22" s="64">
        <v>4450000</v>
      </c>
      <c r="F22" s="64"/>
      <c r="G22" s="64"/>
      <c r="H22" s="64"/>
      <c r="I22" s="64"/>
      <c r="J22" s="64"/>
      <c r="K22" s="64"/>
      <c r="L22" s="64"/>
      <c r="M22" s="64">
        <f t="shared" si="0"/>
        <v>4450000</v>
      </c>
      <c r="N22" s="59">
        <f>+VLOOKUP('Bảng tính lương '!C22,'Ngày công'!$C$6:$AI$57,33,0)</f>
        <v>1.5</v>
      </c>
      <c r="O22" s="56">
        <f>+VLOOKUP(C22,'Ngày công'!$C$6:$AN$57,38,0)</f>
        <v>0</v>
      </c>
      <c r="P22" s="55">
        <f>+VLOOKUP('Bảng tính lương '!C22,'Ngày công'!$C$6:$AO$57,39,0)</f>
        <v>0</v>
      </c>
      <c r="Q22" s="55">
        <f>+VLOOKUP(C22,'Ngày công'!$C$6:$AJ$57,34,0)</f>
        <v>0</v>
      </c>
      <c r="R22" s="65"/>
      <c r="S22" s="65">
        <f>'[1]CHẤM CÔNG'!DS23</f>
        <v>1</v>
      </c>
      <c r="T22" s="65"/>
      <c r="U22" s="64">
        <f t="shared" si="1"/>
        <v>256730.76923076925</v>
      </c>
      <c r="V22" s="64">
        <f t="shared" si="2"/>
        <v>0</v>
      </c>
      <c r="W22" s="64">
        <f t="shared" si="3"/>
        <v>0</v>
      </c>
      <c r="X22" s="64">
        <f t="shared" si="4"/>
        <v>256730.76923076925</v>
      </c>
      <c r="Y22" s="64">
        <f t="shared" si="5"/>
        <v>0</v>
      </c>
      <c r="Z22" s="64">
        <f t="shared" si="6"/>
        <v>0</v>
      </c>
      <c r="AA22" s="64">
        <f t="shared" si="7"/>
        <v>0</v>
      </c>
      <c r="AB22" s="64">
        <f t="shared" si="8"/>
        <v>0</v>
      </c>
      <c r="AC22" s="64">
        <f t="shared" si="9"/>
        <v>0</v>
      </c>
      <c r="AD22" s="64">
        <f t="shared" si="10"/>
        <v>0</v>
      </c>
      <c r="AE22" s="64">
        <f t="shared" si="11"/>
        <v>0</v>
      </c>
      <c r="AF22" s="66">
        <f t="shared" si="12"/>
        <v>0</v>
      </c>
      <c r="AG22" s="89">
        <f>E22/D22/8*S22</f>
        <v>21394.23076923077</v>
      </c>
      <c r="AH22" s="65"/>
      <c r="AI22" s="65"/>
      <c r="AJ22" s="65"/>
      <c r="AK22" s="66">
        <f t="shared" si="13"/>
        <v>21394.23076923077</v>
      </c>
      <c r="AL22" s="66">
        <f t="shared" si="14"/>
        <v>235336.53846153847</v>
      </c>
    </row>
    <row r="23" spans="1:39" s="67" customFormat="1" ht="15.75" x14ac:dyDescent="0.25">
      <c r="A23" s="62">
        <v>18</v>
      </c>
      <c r="B23" s="50" t="s">
        <v>116</v>
      </c>
      <c r="C23" s="50" t="s">
        <v>56</v>
      </c>
      <c r="D23" s="63">
        <v>26</v>
      </c>
      <c r="E23" s="64">
        <v>4450000</v>
      </c>
      <c r="F23" s="64"/>
      <c r="G23" s="64"/>
      <c r="H23" s="64"/>
      <c r="I23" s="64"/>
      <c r="J23" s="64"/>
      <c r="K23" s="64"/>
      <c r="L23" s="64"/>
      <c r="M23" s="64">
        <f>SUM(E23:L23)</f>
        <v>4450000</v>
      </c>
      <c r="N23" s="59">
        <f>+VLOOKUP('Bảng tính lương '!C23,'Ngày công'!$C$6:$AI$57,33,0)</f>
        <v>3</v>
      </c>
      <c r="O23" s="56">
        <f>+VLOOKUP(C23,'Ngày công'!$C$6:$AN$57,38,0)</f>
        <v>3</v>
      </c>
      <c r="P23" s="55">
        <f>+VLOOKUP('Bảng tính lương '!C23,'Ngày công'!$C$6:$AO$57,39,0)</f>
        <v>0</v>
      </c>
      <c r="Q23" s="55">
        <f>+VLOOKUP(C23,'Ngày công'!$C$6:$AJ$57,34,0)</f>
        <v>0</v>
      </c>
      <c r="R23" s="65"/>
      <c r="S23" s="65">
        <f>'[1]CHẤM CÔNG'!DS24</f>
        <v>0</v>
      </c>
      <c r="T23" s="65"/>
      <c r="U23" s="64">
        <f t="shared" si="1"/>
        <v>513461.5384615385</v>
      </c>
      <c r="V23" s="64">
        <f t="shared" si="2"/>
        <v>64182.692307692312</v>
      </c>
      <c r="W23" s="64">
        <f t="shared" si="3"/>
        <v>0</v>
      </c>
      <c r="X23" s="64">
        <f t="shared" si="4"/>
        <v>577644.23076923075</v>
      </c>
      <c r="Y23" s="64">
        <f t="shared" si="5"/>
        <v>0</v>
      </c>
      <c r="Z23" s="64">
        <f t="shared" si="6"/>
        <v>0</v>
      </c>
      <c r="AA23" s="64">
        <f t="shared" si="7"/>
        <v>0</v>
      </c>
      <c r="AB23" s="64">
        <f t="shared" si="8"/>
        <v>0</v>
      </c>
      <c r="AC23" s="64">
        <f t="shared" si="9"/>
        <v>0</v>
      </c>
      <c r="AD23" s="64">
        <f t="shared" si="10"/>
        <v>0</v>
      </c>
      <c r="AE23" s="64">
        <f t="shared" si="11"/>
        <v>0</v>
      </c>
      <c r="AF23" s="66">
        <f t="shared" si="12"/>
        <v>0</v>
      </c>
      <c r="AG23" s="66">
        <f t="shared" si="15"/>
        <v>0</v>
      </c>
      <c r="AH23" s="65"/>
      <c r="AI23" s="65"/>
      <c r="AJ23" s="65"/>
      <c r="AK23" s="66">
        <f t="shared" si="13"/>
        <v>0</v>
      </c>
      <c r="AL23" s="66">
        <f t="shared" si="14"/>
        <v>577644.23076923075</v>
      </c>
    </row>
    <row r="24" spans="1:39" s="67" customFormat="1" ht="15.75" x14ac:dyDescent="0.25">
      <c r="A24" s="62">
        <v>19</v>
      </c>
      <c r="B24" s="50" t="s">
        <v>117</v>
      </c>
      <c r="C24" s="50" t="s">
        <v>57</v>
      </c>
      <c r="D24" s="63">
        <v>26</v>
      </c>
      <c r="E24" s="64">
        <v>4450000</v>
      </c>
      <c r="F24" s="64"/>
      <c r="G24" s="64"/>
      <c r="H24" s="64"/>
      <c r="I24" s="64"/>
      <c r="J24" s="64"/>
      <c r="K24" s="64"/>
      <c r="L24" s="64"/>
      <c r="M24" s="64">
        <f t="shared" si="0"/>
        <v>4450000</v>
      </c>
      <c r="N24" s="59">
        <f>+VLOOKUP('Bảng tính lương '!C24,'Ngày công'!$C$6:$AI$57,33,0)</f>
        <v>3.5</v>
      </c>
      <c r="O24" s="56">
        <f>+VLOOKUP(C24,'Ngày công'!$C$6:$AN$57,38,0)</f>
        <v>2.25</v>
      </c>
      <c r="P24" s="55">
        <f>+VLOOKUP('Bảng tính lương '!C24,'Ngày công'!$C$6:$AO$57,39,0)</f>
        <v>0</v>
      </c>
      <c r="Q24" s="55">
        <f>+VLOOKUP(C24,'Ngày công'!$C$6:$AJ$57,34,0)</f>
        <v>0</v>
      </c>
      <c r="R24" s="65"/>
      <c r="S24" s="65">
        <f>'[1]CHẤM CÔNG'!DS25</f>
        <v>0</v>
      </c>
      <c r="T24" s="65"/>
      <c r="U24" s="64">
        <f t="shared" si="1"/>
        <v>599038.4615384615</v>
      </c>
      <c r="V24" s="64">
        <f t="shared" si="2"/>
        <v>48137.019230769234</v>
      </c>
      <c r="W24" s="64">
        <f t="shared" si="3"/>
        <v>0</v>
      </c>
      <c r="X24" s="64">
        <f t="shared" si="4"/>
        <v>647175.48076923075</v>
      </c>
      <c r="Y24" s="64">
        <f t="shared" si="5"/>
        <v>0</v>
      </c>
      <c r="Z24" s="64">
        <f t="shared" si="6"/>
        <v>0</v>
      </c>
      <c r="AA24" s="64">
        <f t="shared" si="7"/>
        <v>0</v>
      </c>
      <c r="AB24" s="64">
        <f t="shared" si="8"/>
        <v>0</v>
      </c>
      <c r="AC24" s="64">
        <f t="shared" si="9"/>
        <v>0</v>
      </c>
      <c r="AD24" s="64">
        <f t="shared" si="10"/>
        <v>0</v>
      </c>
      <c r="AE24" s="64">
        <f t="shared" si="11"/>
        <v>0</v>
      </c>
      <c r="AF24" s="66">
        <f t="shared" si="12"/>
        <v>0</v>
      </c>
      <c r="AG24" s="66">
        <f t="shared" si="15"/>
        <v>0</v>
      </c>
      <c r="AH24" s="65"/>
      <c r="AI24" s="65"/>
      <c r="AJ24" s="65"/>
      <c r="AK24" s="66">
        <f t="shared" si="13"/>
        <v>0</v>
      </c>
      <c r="AL24" s="66">
        <f t="shared" si="14"/>
        <v>647175.48076923075</v>
      </c>
    </row>
    <row r="25" spans="1:39" s="57" customFormat="1" ht="15.75" x14ac:dyDescent="0.25">
      <c r="A25" s="38">
        <v>20</v>
      </c>
      <c r="B25" s="36" t="s">
        <v>118</v>
      </c>
      <c r="C25" s="36" t="s">
        <v>58</v>
      </c>
      <c r="D25" s="58">
        <v>26</v>
      </c>
      <c r="E25" s="54">
        <v>4450000</v>
      </c>
      <c r="F25" s="54">
        <v>500000</v>
      </c>
      <c r="G25" s="54">
        <v>250000</v>
      </c>
      <c r="H25" s="54"/>
      <c r="I25" s="54"/>
      <c r="J25" s="54"/>
      <c r="K25" s="54">
        <v>300000</v>
      </c>
      <c r="L25" s="54">
        <v>500000</v>
      </c>
      <c r="M25" s="54">
        <f t="shared" si="0"/>
        <v>6000000</v>
      </c>
      <c r="N25" s="59">
        <f>+VLOOKUP('Bảng tính lương '!C25,'Ngày công'!$C$6:$AI$57,33,0)</f>
        <v>13</v>
      </c>
      <c r="O25" s="56">
        <f>+VLOOKUP(C25,'Ngày công'!$C$6:$AN$57,38,0)</f>
        <v>79.25</v>
      </c>
      <c r="P25" s="55">
        <f>+VLOOKUP('Bảng tính lương '!C25,'Ngày công'!$C$6:$AO$57,39,0)</f>
        <v>0</v>
      </c>
      <c r="Q25" s="55">
        <f>+VLOOKUP(C25,'Ngày công'!$C$6:$AJ$57,34,0)</f>
        <v>0</v>
      </c>
      <c r="R25" s="55"/>
      <c r="S25" s="55">
        <f>'[1]CHẤM CÔNG'!DS26</f>
        <v>0</v>
      </c>
      <c r="T25" s="55"/>
      <c r="U25" s="54">
        <f t="shared" si="1"/>
        <v>2225000</v>
      </c>
      <c r="V25" s="54">
        <f t="shared" si="2"/>
        <v>1695492.7884615385</v>
      </c>
      <c r="W25" s="54">
        <f t="shared" si="3"/>
        <v>0</v>
      </c>
      <c r="X25" s="54">
        <f t="shared" si="4"/>
        <v>3920492.7884615385</v>
      </c>
      <c r="Y25" s="54">
        <f t="shared" si="5"/>
        <v>250000</v>
      </c>
      <c r="Z25" s="54">
        <f t="shared" si="6"/>
        <v>125000</v>
      </c>
      <c r="AA25" s="54">
        <f t="shared" si="7"/>
        <v>0</v>
      </c>
      <c r="AB25" s="54">
        <f t="shared" si="8"/>
        <v>0</v>
      </c>
      <c r="AC25" s="54">
        <f t="shared" si="9"/>
        <v>0</v>
      </c>
      <c r="AD25" s="54">
        <f>K25/D25*N25</f>
        <v>150000</v>
      </c>
      <c r="AE25" s="54">
        <f t="shared" si="11"/>
        <v>250000</v>
      </c>
      <c r="AF25" s="60">
        <f t="shared" si="12"/>
        <v>775000</v>
      </c>
      <c r="AG25" s="60">
        <f t="shared" si="15"/>
        <v>0</v>
      </c>
      <c r="AH25" s="55"/>
      <c r="AI25" s="55"/>
      <c r="AJ25" s="55"/>
      <c r="AK25" s="60">
        <f t="shared" si="13"/>
        <v>0</v>
      </c>
      <c r="AL25" s="61">
        <f t="shared" si="14"/>
        <v>4695492.788461538</v>
      </c>
      <c r="AM25" s="57" t="s">
        <v>217</v>
      </c>
    </row>
    <row r="26" spans="1:39" s="57" customFormat="1" ht="15.75" x14ac:dyDescent="0.25">
      <c r="A26" s="38">
        <v>21</v>
      </c>
      <c r="B26" s="36" t="s">
        <v>119</v>
      </c>
      <c r="C26" s="36" t="s">
        <v>59</v>
      </c>
      <c r="D26" s="58">
        <v>26</v>
      </c>
      <c r="E26" s="54">
        <v>4450000</v>
      </c>
      <c r="F26" s="54">
        <v>500000</v>
      </c>
      <c r="G26" s="54">
        <v>250000</v>
      </c>
      <c r="H26" s="54"/>
      <c r="I26" s="54"/>
      <c r="J26" s="54"/>
      <c r="K26" s="54">
        <v>300000</v>
      </c>
      <c r="L26" s="54">
        <v>500000</v>
      </c>
      <c r="M26" s="54">
        <f t="shared" si="0"/>
        <v>6000000</v>
      </c>
      <c r="N26" s="59">
        <f>+VLOOKUP('Bảng tính lương '!C26,'Ngày công'!$C$6:$AI$57,33,0)</f>
        <v>13</v>
      </c>
      <c r="O26" s="56">
        <f>+VLOOKUP(C26,'Ngày công'!$C$6:$AN$57,38,0)</f>
        <v>79.25</v>
      </c>
      <c r="P26" s="55">
        <f>+VLOOKUP('Bảng tính lương '!C26,'Ngày công'!$C$6:$AO$57,39,0)</f>
        <v>0</v>
      </c>
      <c r="Q26" s="55">
        <f>+VLOOKUP(C26,'Ngày công'!$C$6:$AJ$57,34,0)</f>
        <v>0</v>
      </c>
      <c r="R26" s="55"/>
      <c r="S26" s="55">
        <f>'[1]CHẤM CÔNG'!DS27</f>
        <v>0</v>
      </c>
      <c r="T26" s="55"/>
      <c r="U26" s="54">
        <f t="shared" si="1"/>
        <v>2225000</v>
      </c>
      <c r="V26" s="54">
        <f t="shared" si="2"/>
        <v>1695492.7884615385</v>
      </c>
      <c r="W26" s="54">
        <f t="shared" si="3"/>
        <v>0</v>
      </c>
      <c r="X26" s="54">
        <f t="shared" si="4"/>
        <v>3920492.7884615385</v>
      </c>
      <c r="Y26" s="54">
        <f t="shared" si="5"/>
        <v>250000</v>
      </c>
      <c r="Z26" s="54">
        <f t="shared" si="6"/>
        <v>125000</v>
      </c>
      <c r="AA26" s="54">
        <f t="shared" si="7"/>
        <v>0</v>
      </c>
      <c r="AB26" s="54">
        <f t="shared" si="8"/>
        <v>0</v>
      </c>
      <c r="AC26" s="54">
        <f t="shared" si="9"/>
        <v>0</v>
      </c>
      <c r="AD26" s="54">
        <f t="shared" si="10"/>
        <v>150000</v>
      </c>
      <c r="AE26" s="54">
        <f t="shared" si="11"/>
        <v>250000</v>
      </c>
      <c r="AF26" s="60">
        <f t="shared" si="12"/>
        <v>775000</v>
      </c>
      <c r="AG26" s="60">
        <f t="shared" si="15"/>
        <v>0</v>
      </c>
      <c r="AH26" s="55"/>
      <c r="AI26" s="55"/>
      <c r="AJ26" s="55"/>
      <c r="AK26" s="60">
        <f t="shared" si="13"/>
        <v>0</v>
      </c>
      <c r="AL26" s="61">
        <f t="shared" si="14"/>
        <v>4695492.788461538</v>
      </c>
      <c r="AM26" s="57" t="s">
        <v>217</v>
      </c>
    </row>
    <row r="27" spans="1:39" s="57" customFormat="1" ht="15.75" x14ac:dyDescent="0.25">
      <c r="A27" s="38">
        <v>22</v>
      </c>
      <c r="B27" s="36" t="s">
        <v>120</v>
      </c>
      <c r="C27" s="36" t="s">
        <v>60</v>
      </c>
      <c r="D27" s="58">
        <v>26</v>
      </c>
      <c r="E27" s="54">
        <v>4450000</v>
      </c>
      <c r="F27" s="54">
        <v>500000</v>
      </c>
      <c r="G27" s="54">
        <v>250000</v>
      </c>
      <c r="H27" s="54"/>
      <c r="I27" s="54"/>
      <c r="J27" s="54"/>
      <c r="K27" s="54">
        <v>300000</v>
      </c>
      <c r="L27" s="54">
        <v>500000</v>
      </c>
      <c r="M27" s="54">
        <f t="shared" si="0"/>
        <v>6000000</v>
      </c>
      <c r="N27" s="59">
        <f>+VLOOKUP('Bảng tính lương '!C27,'Ngày công'!$C$6:$AI$57,33,0)</f>
        <v>13</v>
      </c>
      <c r="O27" s="56">
        <f>+VLOOKUP(C27,'Ngày công'!$C$6:$AN$57,38,0)</f>
        <v>36.25</v>
      </c>
      <c r="P27" s="55">
        <f>+VLOOKUP('Bảng tính lương '!C27,'Ngày công'!$C$6:$AO$57,39,0)</f>
        <v>0</v>
      </c>
      <c r="Q27" s="55">
        <f>+VLOOKUP(C27,'Ngày công'!$C$6:$AJ$57,34,0)</f>
        <v>0</v>
      </c>
      <c r="R27" s="55"/>
      <c r="S27" s="55">
        <f>'[1]CHẤM CÔNG'!DS28</f>
        <v>0</v>
      </c>
      <c r="T27" s="55"/>
      <c r="U27" s="54">
        <f t="shared" si="1"/>
        <v>2225000</v>
      </c>
      <c r="V27" s="54">
        <f t="shared" si="2"/>
        <v>775540.86538461538</v>
      </c>
      <c r="W27" s="54">
        <f t="shared" si="3"/>
        <v>0</v>
      </c>
      <c r="X27" s="54">
        <f t="shared" si="4"/>
        <v>3000540.8653846155</v>
      </c>
      <c r="Y27" s="54">
        <f t="shared" si="5"/>
        <v>250000</v>
      </c>
      <c r="Z27" s="54">
        <f t="shared" si="6"/>
        <v>125000</v>
      </c>
      <c r="AA27" s="54">
        <f t="shared" si="7"/>
        <v>0</v>
      </c>
      <c r="AB27" s="54">
        <f t="shared" si="8"/>
        <v>0</v>
      </c>
      <c r="AC27" s="54">
        <f t="shared" si="9"/>
        <v>0</v>
      </c>
      <c r="AD27" s="54">
        <f t="shared" si="10"/>
        <v>150000</v>
      </c>
      <c r="AE27" s="54">
        <f t="shared" si="11"/>
        <v>250000</v>
      </c>
      <c r="AF27" s="60">
        <f t="shared" si="12"/>
        <v>775000</v>
      </c>
      <c r="AG27" s="60">
        <f t="shared" si="15"/>
        <v>0</v>
      </c>
      <c r="AH27" s="55"/>
      <c r="AI27" s="55"/>
      <c r="AJ27" s="55"/>
      <c r="AK27" s="60">
        <f t="shared" si="13"/>
        <v>0</v>
      </c>
      <c r="AL27" s="61">
        <f t="shared" si="14"/>
        <v>3775540.8653846155</v>
      </c>
      <c r="AM27" s="57" t="s">
        <v>217</v>
      </c>
    </row>
    <row r="28" spans="1:39" s="57" customFormat="1" ht="15.75" x14ac:dyDescent="0.25">
      <c r="A28" s="38">
        <v>23</v>
      </c>
      <c r="B28" s="36" t="s">
        <v>121</v>
      </c>
      <c r="C28" s="36" t="s">
        <v>61</v>
      </c>
      <c r="D28" s="58">
        <v>26</v>
      </c>
      <c r="E28" s="54">
        <v>10000000</v>
      </c>
      <c r="F28" s="54"/>
      <c r="G28" s="54">
        <v>500000</v>
      </c>
      <c r="H28" s="54"/>
      <c r="I28" s="54"/>
      <c r="J28" s="54">
        <v>500000</v>
      </c>
      <c r="K28" s="54"/>
      <c r="L28" s="54"/>
      <c r="M28" s="54">
        <f t="shared" si="0"/>
        <v>11000000</v>
      </c>
      <c r="N28" s="59">
        <v>26</v>
      </c>
      <c r="O28" s="56"/>
      <c r="P28" s="55">
        <f>+VLOOKUP('Bảng tính lương '!C28,'Ngày công'!$C$6:$AO$57,39,0)</f>
        <v>0</v>
      </c>
      <c r="Q28" s="55">
        <f>+VLOOKUP(C28,'Ngày công'!$C$6:$AJ$57,34,0)</f>
        <v>0</v>
      </c>
      <c r="R28" s="55"/>
      <c r="S28" s="55">
        <f>'[1]CHẤM CÔNG'!DS29</f>
        <v>0</v>
      </c>
      <c r="T28" s="55"/>
      <c r="U28" s="54">
        <f t="shared" si="1"/>
        <v>10000000</v>
      </c>
      <c r="V28" s="54">
        <f>E28/D28/8*O28</f>
        <v>0</v>
      </c>
      <c r="W28" s="54">
        <f t="shared" si="3"/>
        <v>0</v>
      </c>
      <c r="X28" s="54">
        <f t="shared" si="4"/>
        <v>10000000</v>
      </c>
      <c r="Y28" s="54">
        <f t="shared" si="5"/>
        <v>0</v>
      </c>
      <c r="Z28" s="54">
        <f t="shared" si="6"/>
        <v>500000</v>
      </c>
      <c r="AA28" s="54">
        <f t="shared" si="7"/>
        <v>0</v>
      </c>
      <c r="AB28" s="54">
        <f t="shared" si="8"/>
        <v>0</v>
      </c>
      <c r="AC28" s="54">
        <f t="shared" si="9"/>
        <v>500000</v>
      </c>
      <c r="AD28" s="54">
        <f t="shared" si="10"/>
        <v>0</v>
      </c>
      <c r="AE28" s="54">
        <f t="shared" si="11"/>
        <v>0</v>
      </c>
      <c r="AF28" s="60">
        <f t="shared" si="12"/>
        <v>1000000</v>
      </c>
      <c r="AG28" s="60">
        <f t="shared" si="15"/>
        <v>0</v>
      </c>
      <c r="AH28" s="55"/>
      <c r="AI28" s="55"/>
      <c r="AJ28" s="55"/>
      <c r="AK28" s="60">
        <f t="shared" si="13"/>
        <v>0</v>
      </c>
      <c r="AL28" s="61">
        <v>5500000</v>
      </c>
    </row>
    <row r="29" spans="1:39" s="57" customFormat="1" ht="15.75" x14ac:dyDescent="0.25">
      <c r="A29" s="38">
        <v>24</v>
      </c>
      <c r="B29" s="36" t="s">
        <v>122</v>
      </c>
      <c r="C29" s="36" t="s">
        <v>62</v>
      </c>
      <c r="D29" s="58">
        <v>26</v>
      </c>
      <c r="E29" s="54">
        <v>4450000</v>
      </c>
      <c r="F29" s="54">
        <v>500000</v>
      </c>
      <c r="G29" s="54">
        <v>250000</v>
      </c>
      <c r="H29" s="54">
        <v>500000</v>
      </c>
      <c r="I29" s="54"/>
      <c r="J29" s="54"/>
      <c r="K29" s="54">
        <v>300000</v>
      </c>
      <c r="L29" s="54">
        <v>500000</v>
      </c>
      <c r="M29" s="54">
        <f t="shared" si="0"/>
        <v>6500000</v>
      </c>
      <c r="N29" s="59">
        <f>+VLOOKUP('Bảng tính lương '!C29,'Ngày công'!$C$6:$AI$57,33,0)</f>
        <v>11</v>
      </c>
      <c r="O29" s="56">
        <f>+VLOOKUP(C29,'Ngày công'!$C$6:$AN$57,38,0)</f>
        <v>74.150000000000006</v>
      </c>
      <c r="P29" s="55">
        <f>+VLOOKUP('Bảng tính lương '!C29,'Ngày công'!$C$6:$AO$57,39,0)</f>
        <v>0</v>
      </c>
      <c r="Q29" s="55">
        <f>+VLOOKUP(C29,'Ngày công'!$C$6:$AJ$57,34,0)</f>
        <v>0</v>
      </c>
      <c r="R29" s="55"/>
      <c r="S29" s="55">
        <f>'[1]CHẤM CÔNG'!DS30</f>
        <v>0</v>
      </c>
      <c r="T29" s="55"/>
      <c r="U29" s="54">
        <f t="shared" si="1"/>
        <v>1882692.3076923077</v>
      </c>
      <c r="V29" s="54">
        <f t="shared" si="2"/>
        <v>1586382.2115384617</v>
      </c>
      <c r="W29" s="54">
        <f t="shared" si="3"/>
        <v>0</v>
      </c>
      <c r="X29" s="54">
        <f t="shared" si="4"/>
        <v>3469074.5192307695</v>
      </c>
      <c r="Y29" s="54">
        <f t="shared" si="5"/>
        <v>211538.46153846153</v>
      </c>
      <c r="Z29" s="54">
        <f t="shared" si="6"/>
        <v>105769.23076923077</v>
      </c>
      <c r="AA29" s="54">
        <f>H29/D29*N29</f>
        <v>211538.46153846153</v>
      </c>
      <c r="AB29" s="54">
        <f t="shared" si="8"/>
        <v>0</v>
      </c>
      <c r="AC29" s="54">
        <f t="shared" si="9"/>
        <v>0</v>
      </c>
      <c r="AD29" s="54">
        <f t="shared" si="10"/>
        <v>126923.07692307694</v>
      </c>
      <c r="AE29" s="54">
        <f t="shared" si="11"/>
        <v>211538.46153846153</v>
      </c>
      <c r="AF29" s="60">
        <f t="shared" si="12"/>
        <v>867307.69230769225</v>
      </c>
      <c r="AG29" s="60">
        <f t="shared" si="15"/>
        <v>0</v>
      </c>
      <c r="AH29" s="55"/>
      <c r="AI29" s="55"/>
      <c r="AJ29" s="55"/>
      <c r="AK29" s="60">
        <f t="shared" si="13"/>
        <v>0</v>
      </c>
      <c r="AL29" s="61">
        <f t="shared" si="14"/>
        <v>4336382.211538462</v>
      </c>
      <c r="AM29" s="57" t="s">
        <v>233</v>
      </c>
    </row>
    <row r="30" spans="1:39" s="57" customFormat="1" ht="15.75" x14ac:dyDescent="0.25">
      <c r="A30" s="38">
        <v>25</v>
      </c>
      <c r="B30" s="36" t="s">
        <v>123</v>
      </c>
      <c r="C30" s="36" t="s">
        <v>63</v>
      </c>
      <c r="D30" s="58">
        <v>26</v>
      </c>
      <c r="E30" s="54">
        <v>4450000</v>
      </c>
      <c r="F30" s="54">
        <v>500000</v>
      </c>
      <c r="G30" s="54">
        <v>250000</v>
      </c>
      <c r="H30" s="54"/>
      <c r="I30" s="54"/>
      <c r="J30" s="54"/>
      <c r="K30" s="54">
        <v>300000</v>
      </c>
      <c r="L30" s="54">
        <v>500000</v>
      </c>
      <c r="M30" s="54">
        <f t="shared" si="0"/>
        <v>6000000</v>
      </c>
      <c r="N30" s="59">
        <f>+VLOOKUP('Bảng tính lương '!C30,'Ngày công'!$C$6:$AI$57,33,0)</f>
        <v>11</v>
      </c>
      <c r="O30" s="56">
        <f>+VLOOKUP(C30,'Ngày công'!$C$6:$AN$57,38,0)</f>
        <v>72.349999999999994</v>
      </c>
      <c r="P30" s="55">
        <f>+VLOOKUP('Bảng tính lương '!C30,'Ngày công'!$C$6:$AO$57,39,0)</f>
        <v>0</v>
      </c>
      <c r="Q30" s="55">
        <f>+VLOOKUP(C30,'Ngày công'!$C$6:$AJ$57,34,0)</f>
        <v>1</v>
      </c>
      <c r="R30" s="55"/>
      <c r="S30" s="55">
        <f>'[1]CHẤM CÔNG'!DS31</f>
        <v>0</v>
      </c>
      <c r="T30" s="55"/>
      <c r="U30" s="54">
        <f t="shared" si="1"/>
        <v>1882692.3076923077</v>
      </c>
      <c r="V30" s="54">
        <f t="shared" si="2"/>
        <v>1547872.596153846</v>
      </c>
      <c r="W30" s="54">
        <f t="shared" si="3"/>
        <v>0</v>
      </c>
      <c r="X30" s="54">
        <f t="shared" si="4"/>
        <v>3430564.903846154</v>
      </c>
      <c r="Y30" s="54">
        <f t="shared" si="5"/>
        <v>211538.46153846153</v>
      </c>
      <c r="Z30" s="54">
        <f t="shared" si="6"/>
        <v>105769.23076923077</v>
      </c>
      <c r="AA30" s="54">
        <f t="shared" si="7"/>
        <v>0</v>
      </c>
      <c r="AB30" s="54">
        <f t="shared" si="8"/>
        <v>0</v>
      </c>
      <c r="AC30" s="54">
        <f t="shared" si="9"/>
        <v>0</v>
      </c>
      <c r="AD30" s="54">
        <f t="shared" si="10"/>
        <v>126923.07692307694</v>
      </c>
      <c r="AE30" s="54">
        <f t="shared" si="11"/>
        <v>211538.46153846153</v>
      </c>
      <c r="AF30" s="60">
        <f t="shared" si="12"/>
        <v>655769.23076923075</v>
      </c>
      <c r="AG30" s="60">
        <f t="shared" si="15"/>
        <v>0</v>
      </c>
      <c r="AH30" s="55"/>
      <c r="AI30" s="55"/>
      <c r="AJ30" s="55"/>
      <c r="AK30" s="60">
        <f t="shared" si="13"/>
        <v>0</v>
      </c>
      <c r="AL30" s="61">
        <f t="shared" si="14"/>
        <v>4086334.134615385</v>
      </c>
    </row>
    <row r="31" spans="1:39" s="57" customFormat="1" ht="15.75" x14ac:dyDescent="0.25">
      <c r="A31" s="38">
        <v>26</v>
      </c>
      <c r="B31" s="36" t="s">
        <v>124</v>
      </c>
      <c r="C31" s="36" t="s">
        <v>64</v>
      </c>
      <c r="D31" s="58">
        <v>26</v>
      </c>
      <c r="E31" s="54">
        <v>4450000</v>
      </c>
      <c r="F31" s="54"/>
      <c r="G31" s="54"/>
      <c r="H31" s="54"/>
      <c r="I31" s="54"/>
      <c r="J31" s="54"/>
      <c r="K31" s="54"/>
      <c r="L31" s="54"/>
      <c r="M31" s="54">
        <f t="shared" si="0"/>
        <v>4450000</v>
      </c>
      <c r="N31" s="59">
        <f>+VLOOKUP('Bảng tính lương '!C31,'Ngày công'!$C$6:$AI$57,33,0)</f>
        <v>5</v>
      </c>
      <c r="O31" s="56">
        <f>+VLOOKUP(C31,'Ngày công'!$C$6:$AN$57,38,0)</f>
        <v>29.5</v>
      </c>
      <c r="P31" s="55">
        <f>+VLOOKUP('Bảng tính lương '!C31,'Ngày công'!$C$6:$AO$57,39,0)</f>
        <v>0</v>
      </c>
      <c r="Q31" s="55">
        <f>+VLOOKUP(C31,'Ngày công'!$C$6:$AJ$57,34,0)</f>
        <v>0</v>
      </c>
      <c r="R31" s="55"/>
      <c r="S31" s="55">
        <f>'[1]CHẤM CÔNG'!DS32</f>
        <v>0</v>
      </c>
      <c r="T31" s="55"/>
      <c r="U31" s="54">
        <f t="shared" si="1"/>
        <v>855769.23076923075</v>
      </c>
      <c r="V31" s="54">
        <f t="shared" si="2"/>
        <v>631129.80769230775</v>
      </c>
      <c r="W31" s="54">
        <f t="shared" si="3"/>
        <v>0</v>
      </c>
      <c r="X31" s="54">
        <f t="shared" si="4"/>
        <v>1486899.0384615385</v>
      </c>
      <c r="Y31" s="54">
        <f t="shared" si="5"/>
        <v>0</v>
      </c>
      <c r="Z31" s="54">
        <f t="shared" si="6"/>
        <v>0</v>
      </c>
      <c r="AA31" s="54">
        <f t="shared" si="7"/>
        <v>0</v>
      </c>
      <c r="AB31" s="54">
        <f t="shared" si="8"/>
        <v>0</v>
      </c>
      <c r="AC31" s="54">
        <f t="shared" si="9"/>
        <v>0</v>
      </c>
      <c r="AD31" s="54">
        <f t="shared" si="10"/>
        <v>0</v>
      </c>
      <c r="AE31" s="54">
        <f t="shared" si="11"/>
        <v>0</v>
      </c>
      <c r="AF31" s="60">
        <f t="shared" si="12"/>
        <v>0</v>
      </c>
      <c r="AG31" s="60">
        <f t="shared" si="15"/>
        <v>0</v>
      </c>
      <c r="AH31" s="55"/>
      <c r="AI31" s="55"/>
      <c r="AJ31" s="55"/>
      <c r="AK31" s="60">
        <f t="shared" si="13"/>
        <v>0</v>
      </c>
      <c r="AL31" s="61">
        <f t="shared" si="14"/>
        <v>1486899.0384615385</v>
      </c>
    </row>
    <row r="32" spans="1:39" s="57" customFormat="1" ht="15.75" x14ac:dyDescent="0.25">
      <c r="A32" s="38">
        <v>27</v>
      </c>
      <c r="B32" s="36" t="s">
        <v>125</v>
      </c>
      <c r="C32" s="36" t="s">
        <v>65</v>
      </c>
      <c r="D32" s="58">
        <v>26</v>
      </c>
      <c r="E32" s="54">
        <v>4450000</v>
      </c>
      <c r="F32" s="54"/>
      <c r="G32" s="54"/>
      <c r="H32" s="54"/>
      <c r="I32" s="54"/>
      <c r="J32" s="54"/>
      <c r="K32" s="54"/>
      <c r="L32" s="54"/>
      <c r="M32" s="54">
        <f t="shared" si="0"/>
        <v>4450000</v>
      </c>
      <c r="N32" s="59">
        <f>+VLOOKUP('Bảng tính lương '!C32,'Ngày công'!$C$6:$AI$57,33,0)</f>
        <v>5</v>
      </c>
      <c r="O32" s="56">
        <f>+VLOOKUP(C32,'Ngày công'!$C$6:$AN$57,38,0)</f>
        <v>31.75</v>
      </c>
      <c r="P32" s="55">
        <f>+VLOOKUP('Bảng tính lương '!C32,'Ngày công'!$C$6:$AO$57,39,0)</f>
        <v>0</v>
      </c>
      <c r="Q32" s="55">
        <f>+VLOOKUP(C32,'Ngày công'!$C$6:$AJ$57,34,0)</f>
        <v>0</v>
      </c>
      <c r="R32" s="55"/>
      <c r="S32" s="55">
        <f>'[1]CHẤM CÔNG'!DS33</f>
        <v>0</v>
      </c>
      <c r="T32" s="55"/>
      <c r="U32" s="54">
        <f t="shared" si="1"/>
        <v>855769.23076923075</v>
      </c>
      <c r="V32" s="54">
        <f t="shared" si="2"/>
        <v>679266.82692307688</v>
      </c>
      <c r="W32" s="54">
        <f t="shared" si="3"/>
        <v>0</v>
      </c>
      <c r="X32" s="54">
        <f t="shared" si="4"/>
        <v>1535036.0576923075</v>
      </c>
      <c r="Y32" s="54">
        <f t="shared" si="5"/>
        <v>0</v>
      </c>
      <c r="Z32" s="54">
        <f t="shared" si="6"/>
        <v>0</v>
      </c>
      <c r="AA32" s="54">
        <f t="shared" si="7"/>
        <v>0</v>
      </c>
      <c r="AB32" s="54">
        <f t="shared" si="8"/>
        <v>0</v>
      </c>
      <c r="AC32" s="54">
        <f t="shared" si="9"/>
        <v>0</v>
      </c>
      <c r="AD32" s="54">
        <f t="shared" si="10"/>
        <v>0</v>
      </c>
      <c r="AE32" s="54">
        <f t="shared" si="11"/>
        <v>0</v>
      </c>
      <c r="AF32" s="60">
        <f t="shared" si="12"/>
        <v>0</v>
      </c>
      <c r="AG32" s="60">
        <f t="shared" si="15"/>
        <v>0</v>
      </c>
      <c r="AH32" s="55"/>
      <c r="AI32" s="55"/>
      <c r="AJ32" s="55"/>
      <c r="AK32" s="60">
        <f t="shared" si="13"/>
        <v>0</v>
      </c>
      <c r="AL32" s="61">
        <f t="shared" si="14"/>
        <v>1535036.0576923075</v>
      </c>
    </row>
    <row r="33" spans="1:39" s="57" customFormat="1" ht="15.75" x14ac:dyDescent="0.25">
      <c r="A33" s="38">
        <v>28</v>
      </c>
      <c r="B33" s="36" t="s">
        <v>126</v>
      </c>
      <c r="C33" s="36" t="s">
        <v>235</v>
      </c>
      <c r="D33" s="58">
        <v>26</v>
      </c>
      <c r="E33" s="54">
        <v>4450000</v>
      </c>
      <c r="F33" s="54">
        <v>500000</v>
      </c>
      <c r="G33" s="54">
        <v>250000</v>
      </c>
      <c r="H33" s="54"/>
      <c r="I33" s="54"/>
      <c r="J33" s="54"/>
      <c r="K33" s="54">
        <v>300000</v>
      </c>
      <c r="L33" s="54">
        <v>500000</v>
      </c>
      <c r="M33" s="54">
        <f t="shared" si="0"/>
        <v>6000000</v>
      </c>
      <c r="N33" s="59">
        <f>+VLOOKUP('Bảng tính lương '!C33,'Ngày công'!$C$6:$AI$57,33,0)</f>
        <v>10</v>
      </c>
      <c r="O33" s="56">
        <f>+VLOOKUP(C33,'Ngày công'!$C$6:$AN$57,38,0)</f>
        <v>23.5</v>
      </c>
      <c r="P33" s="55">
        <f>+VLOOKUP('Bảng tính lương '!C33,'Ngày công'!$C$6:$AO$57,39,0)</f>
        <v>0</v>
      </c>
      <c r="Q33" s="55">
        <f>+VLOOKUP(C33,'Ngày công'!$C$6:$AJ$57,34,0)</f>
        <v>0</v>
      </c>
      <c r="R33" s="55"/>
      <c r="S33" s="55">
        <f>'[1]CHẤM CÔNG'!DS34</f>
        <v>0</v>
      </c>
      <c r="T33" s="55"/>
      <c r="U33" s="54">
        <f t="shared" si="1"/>
        <v>1711538.4615384615</v>
      </c>
      <c r="V33" s="54">
        <f t="shared" si="2"/>
        <v>502764.42307692306</v>
      </c>
      <c r="W33" s="54">
        <f t="shared" si="3"/>
        <v>0</v>
      </c>
      <c r="X33" s="54">
        <f t="shared" si="4"/>
        <v>2214302.8846153845</v>
      </c>
      <c r="Y33" s="54">
        <f t="shared" si="5"/>
        <v>192307.69230769231</v>
      </c>
      <c r="Z33" s="54">
        <f t="shared" si="6"/>
        <v>96153.846153846156</v>
      </c>
      <c r="AA33" s="54">
        <f t="shared" si="7"/>
        <v>0</v>
      </c>
      <c r="AB33" s="54">
        <f t="shared" si="8"/>
        <v>0</v>
      </c>
      <c r="AC33" s="54">
        <f t="shared" si="9"/>
        <v>0</v>
      </c>
      <c r="AD33" s="54">
        <f t="shared" si="10"/>
        <v>115384.61538461539</v>
      </c>
      <c r="AE33" s="54">
        <f t="shared" si="11"/>
        <v>192307.69230769231</v>
      </c>
      <c r="AF33" s="60">
        <f t="shared" si="12"/>
        <v>596153.84615384624</v>
      </c>
      <c r="AG33" s="60">
        <f t="shared" si="15"/>
        <v>0</v>
      </c>
      <c r="AH33" s="55"/>
      <c r="AI33" s="55"/>
      <c r="AJ33" s="55"/>
      <c r="AK33" s="60">
        <f t="shared" si="13"/>
        <v>0</v>
      </c>
      <c r="AL33" s="61">
        <f t="shared" si="14"/>
        <v>2810456.730769231</v>
      </c>
      <c r="AM33" s="57" t="s">
        <v>236</v>
      </c>
    </row>
    <row r="34" spans="1:39" s="57" customFormat="1" ht="15.75" x14ac:dyDescent="0.25">
      <c r="A34" s="38">
        <v>29</v>
      </c>
      <c r="B34" s="36" t="s">
        <v>127</v>
      </c>
      <c r="C34" s="36" t="s">
        <v>66</v>
      </c>
      <c r="D34" s="58">
        <v>26</v>
      </c>
      <c r="E34" s="54">
        <v>4450000</v>
      </c>
      <c r="F34" s="54">
        <v>500000</v>
      </c>
      <c r="G34" s="54">
        <v>250000</v>
      </c>
      <c r="H34" s="54"/>
      <c r="I34" s="54"/>
      <c r="J34" s="54"/>
      <c r="K34" s="54">
        <v>300000</v>
      </c>
      <c r="L34" s="54">
        <v>500000</v>
      </c>
      <c r="M34" s="54">
        <f t="shared" si="0"/>
        <v>6000000</v>
      </c>
      <c r="N34" s="59">
        <f>+VLOOKUP('Bảng tính lương '!C34,'Ngày công'!$C$6:$AI$57,33,0)</f>
        <v>12</v>
      </c>
      <c r="O34" s="56">
        <f>+VLOOKUP(C34,'Ngày công'!$C$6:$AN$57,38,0)</f>
        <v>33.25</v>
      </c>
      <c r="P34" s="55">
        <f>+VLOOKUP('Bảng tính lương '!C34,'Ngày công'!$C$6:$AO$57,39,0)</f>
        <v>0</v>
      </c>
      <c r="Q34" s="55">
        <f>+VLOOKUP(C34,'Ngày công'!$C$6:$AJ$57,34,0)</f>
        <v>0</v>
      </c>
      <c r="R34" s="55"/>
      <c r="S34" s="55">
        <f>'[1]CHẤM CÔNG'!DS35</f>
        <v>0</v>
      </c>
      <c r="T34" s="55"/>
      <c r="U34" s="54">
        <f t="shared" si="1"/>
        <v>2053846.153846154</v>
      </c>
      <c r="V34" s="54">
        <f t="shared" si="2"/>
        <v>711358.17307692312</v>
      </c>
      <c r="W34" s="54">
        <f t="shared" si="3"/>
        <v>0</v>
      </c>
      <c r="X34" s="54">
        <f t="shared" si="4"/>
        <v>2765204.326923077</v>
      </c>
      <c r="Y34" s="54">
        <f t="shared" si="5"/>
        <v>230769.23076923075</v>
      </c>
      <c r="Z34" s="54">
        <f t="shared" si="6"/>
        <v>115384.61538461538</v>
      </c>
      <c r="AA34" s="54">
        <f t="shared" si="7"/>
        <v>0</v>
      </c>
      <c r="AB34" s="54">
        <f t="shared" si="8"/>
        <v>0</v>
      </c>
      <c r="AC34" s="54">
        <f t="shared" si="9"/>
        <v>0</v>
      </c>
      <c r="AD34" s="54">
        <f t="shared" si="10"/>
        <v>138461.53846153847</v>
      </c>
      <c r="AE34" s="54">
        <f t="shared" si="11"/>
        <v>230769.23076923075</v>
      </c>
      <c r="AF34" s="60">
        <f t="shared" si="12"/>
        <v>715384.61538461538</v>
      </c>
      <c r="AG34" s="60">
        <f t="shared" si="15"/>
        <v>0</v>
      </c>
      <c r="AH34" s="55"/>
      <c r="AI34" s="55"/>
      <c r="AJ34" s="55"/>
      <c r="AK34" s="60">
        <f t="shared" si="13"/>
        <v>0</v>
      </c>
      <c r="AL34" s="61">
        <f t="shared" si="14"/>
        <v>3480588.9423076925</v>
      </c>
      <c r="AM34" s="57" t="s">
        <v>217</v>
      </c>
    </row>
    <row r="35" spans="1:39" s="57" customFormat="1" ht="15.75" x14ac:dyDescent="0.25">
      <c r="A35" s="38">
        <v>30</v>
      </c>
      <c r="B35" s="36" t="s">
        <v>128</v>
      </c>
      <c r="C35" s="36" t="s">
        <v>67</v>
      </c>
      <c r="D35" s="58">
        <v>26</v>
      </c>
      <c r="E35" s="54">
        <v>4150000</v>
      </c>
      <c r="F35" s="54">
        <v>500000</v>
      </c>
      <c r="G35" s="54">
        <v>250000</v>
      </c>
      <c r="H35" s="54"/>
      <c r="I35" s="54"/>
      <c r="J35" s="54">
        <v>500000</v>
      </c>
      <c r="K35" s="54">
        <v>300000</v>
      </c>
      <c r="L35" s="54">
        <v>300000</v>
      </c>
      <c r="M35" s="54">
        <f t="shared" si="0"/>
        <v>6000000</v>
      </c>
      <c r="N35" s="59">
        <f>+VLOOKUP('Bảng tính lương '!C35,'Ngày công'!$C$6:$AI$57,33,0)</f>
        <v>20</v>
      </c>
      <c r="O35" s="56">
        <f>+VLOOKUP(C35,'Ngày công'!$C$6:$AN$57,38,0)</f>
        <v>45.25</v>
      </c>
      <c r="P35" s="55">
        <f>+VLOOKUP('Bảng tính lương '!C35,'Ngày công'!$C$6:$AO$57,39,0)</f>
        <v>1</v>
      </c>
      <c r="Q35" s="55">
        <f>+VLOOKUP(C35,'Ngày công'!$C$6:$AJ$57,34,0)</f>
        <v>0</v>
      </c>
      <c r="R35" s="55"/>
      <c r="S35" s="55">
        <f>'[1]CHẤM CÔNG'!DS36</f>
        <v>2</v>
      </c>
      <c r="T35" s="55"/>
      <c r="U35" s="54">
        <f t="shared" si="1"/>
        <v>3192307.6923076925</v>
      </c>
      <c r="V35" s="54">
        <f t="shared" si="2"/>
        <v>902824.51923076925</v>
      </c>
      <c r="W35" s="54">
        <f t="shared" si="3"/>
        <v>478846.15384615387</v>
      </c>
      <c r="X35" s="54">
        <f t="shared" si="4"/>
        <v>4573978.365384616</v>
      </c>
      <c r="Y35" s="54">
        <f t="shared" si="5"/>
        <v>384615.38461538462</v>
      </c>
      <c r="Z35" s="54">
        <f t="shared" si="6"/>
        <v>192307.69230769231</v>
      </c>
      <c r="AA35" s="54">
        <f>H35/D35*N35</f>
        <v>0</v>
      </c>
      <c r="AB35" s="54">
        <f t="shared" si="8"/>
        <v>0</v>
      </c>
      <c r="AC35" s="54">
        <f t="shared" si="9"/>
        <v>500000</v>
      </c>
      <c r="AD35" s="54">
        <f t="shared" si="10"/>
        <v>230769.23076923078</v>
      </c>
      <c r="AE35" s="54">
        <f t="shared" si="11"/>
        <v>230769.23076923078</v>
      </c>
      <c r="AF35" s="60">
        <f t="shared" si="12"/>
        <v>1538461.5384615385</v>
      </c>
      <c r="AG35" s="60">
        <f t="shared" si="15"/>
        <v>39903.846153846156</v>
      </c>
      <c r="AH35" s="55"/>
      <c r="AI35" s="55"/>
      <c r="AJ35" s="55"/>
      <c r="AK35" s="60">
        <f t="shared" si="13"/>
        <v>39903.846153846156</v>
      </c>
      <c r="AL35" s="61">
        <f t="shared" si="14"/>
        <v>6072536.057692308</v>
      </c>
    </row>
    <row r="36" spans="1:39" s="57" customFormat="1" ht="15.75" x14ac:dyDescent="0.25">
      <c r="A36" s="38">
        <v>31</v>
      </c>
      <c r="B36" s="36" t="s">
        <v>129</v>
      </c>
      <c r="C36" s="36" t="s">
        <v>96</v>
      </c>
      <c r="D36" s="58">
        <v>26</v>
      </c>
      <c r="E36" s="54">
        <v>4150000</v>
      </c>
      <c r="F36" s="54">
        <v>500000</v>
      </c>
      <c r="G36" s="54">
        <v>250000</v>
      </c>
      <c r="H36" s="54"/>
      <c r="I36" s="54"/>
      <c r="J36" s="54"/>
      <c r="K36" s="54">
        <v>300000</v>
      </c>
      <c r="L36" s="54">
        <v>300000</v>
      </c>
      <c r="M36" s="54">
        <f t="shared" si="0"/>
        <v>5500000</v>
      </c>
      <c r="N36" s="59">
        <f>+VLOOKUP('Bảng tính lương '!C36,'Ngày công'!$C$6:$AI$57,33,0)</f>
        <v>11.5</v>
      </c>
      <c r="O36" s="56">
        <f>+VLOOKUP(C36,'Ngày công'!$C$6:$AN$57,38,0)</f>
        <v>24</v>
      </c>
      <c r="P36" s="55">
        <f>+VLOOKUP('Bảng tính lương '!C36,'Ngày công'!$C$6:$AO$57,39,0)</f>
        <v>0</v>
      </c>
      <c r="Q36" s="55">
        <f>+VLOOKUP(C36,'Ngày công'!$C$6:$AJ$57,34,0)</f>
        <v>0</v>
      </c>
      <c r="R36" s="55"/>
      <c r="S36" s="55">
        <f>'[1]CHẤM CÔNG'!DS37</f>
        <v>2</v>
      </c>
      <c r="T36" s="55"/>
      <c r="U36" s="54">
        <f t="shared" si="1"/>
        <v>1835576.9230769232</v>
      </c>
      <c r="V36" s="54">
        <f t="shared" si="2"/>
        <v>478846.15384615387</v>
      </c>
      <c r="W36" s="54">
        <f t="shared" si="3"/>
        <v>0</v>
      </c>
      <c r="X36" s="54">
        <f t="shared" si="4"/>
        <v>2314423.076923077</v>
      </c>
      <c r="Y36" s="54">
        <f t="shared" si="5"/>
        <v>221153.84615384616</v>
      </c>
      <c r="Z36" s="54">
        <f t="shared" si="6"/>
        <v>110576.92307692308</v>
      </c>
      <c r="AA36" s="54">
        <f t="shared" si="7"/>
        <v>0</v>
      </c>
      <c r="AB36" s="54">
        <f t="shared" si="8"/>
        <v>0</v>
      </c>
      <c r="AC36" s="54">
        <f t="shared" si="9"/>
        <v>0</v>
      </c>
      <c r="AD36" s="54">
        <f t="shared" si="10"/>
        <v>132692.30769230769</v>
      </c>
      <c r="AE36" s="54">
        <f t="shared" si="11"/>
        <v>132692.30769230769</v>
      </c>
      <c r="AF36" s="60">
        <f t="shared" si="12"/>
        <v>597115.38461538462</v>
      </c>
      <c r="AG36" s="60">
        <f t="shared" si="15"/>
        <v>39903.846153846156</v>
      </c>
      <c r="AH36" s="55"/>
      <c r="AI36" s="55"/>
      <c r="AJ36" s="55"/>
      <c r="AK36" s="60">
        <f t="shared" si="13"/>
        <v>39903.846153846156</v>
      </c>
      <c r="AL36" s="61">
        <f t="shared" si="14"/>
        <v>2871634.6153846155</v>
      </c>
    </row>
    <row r="37" spans="1:39" s="57" customFormat="1" ht="15.75" x14ac:dyDescent="0.25">
      <c r="A37" s="38">
        <v>32</v>
      </c>
      <c r="B37" s="36" t="s">
        <v>130</v>
      </c>
      <c r="C37" s="36" t="s">
        <v>68</v>
      </c>
      <c r="D37" s="58">
        <v>26</v>
      </c>
      <c r="E37" s="54">
        <v>4150000</v>
      </c>
      <c r="F37" s="54">
        <v>500000</v>
      </c>
      <c r="G37" s="54">
        <v>250000</v>
      </c>
      <c r="H37" s="54"/>
      <c r="I37" s="54"/>
      <c r="J37" s="54"/>
      <c r="K37" s="54">
        <v>300000</v>
      </c>
      <c r="L37" s="54">
        <v>300000</v>
      </c>
      <c r="M37" s="54">
        <f t="shared" si="0"/>
        <v>5500000</v>
      </c>
      <c r="N37" s="59">
        <f>+VLOOKUP('Bảng tính lương '!C37,'Ngày công'!$C$6:$AI$57,33,0)</f>
        <v>4</v>
      </c>
      <c r="O37" s="56">
        <f>+VLOOKUP(C37,'Ngày công'!$C$6:$AN$57,38,0)</f>
        <v>12.25</v>
      </c>
      <c r="P37" s="55">
        <f>+VLOOKUP('Bảng tính lương '!C37,'Ngày công'!$C$6:$AO$57,39,0)</f>
        <v>0</v>
      </c>
      <c r="Q37" s="55">
        <f>+VLOOKUP(C37,'Ngày công'!$C$6:$AJ$57,34,0)</f>
        <v>0</v>
      </c>
      <c r="R37" s="55"/>
      <c r="S37" s="55">
        <f>'[1]CHẤM CÔNG'!DS38</f>
        <v>0</v>
      </c>
      <c r="T37" s="55"/>
      <c r="U37" s="54">
        <f t="shared" si="1"/>
        <v>638461.5384615385</v>
      </c>
      <c r="V37" s="54">
        <f t="shared" si="2"/>
        <v>244411.05769230772</v>
      </c>
      <c r="W37" s="54">
        <f t="shared" si="3"/>
        <v>0</v>
      </c>
      <c r="X37" s="54">
        <f t="shared" si="4"/>
        <v>882872.59615384624</v>
      </c>
      <c r="Y37" s="54">
        <f t="shared" si="5"/>
        <v>76923.076923076922</v>
      </c>
      <c r="Z37" s="54">
        <f t="shared" si="6"/>
        <v>38461.538461538461</v>
      </c>
      <c r="AA37" s="54">
        <f t="shared" si="7"/>
        <v>0</v>
      </c>
      <c r="AB37" s="54">
        <f t="shared" si="8"/>
        <v>0</v>
      </c>
      <c r="AC37" s="54">
        <f t="shared" si="9"/>
        <v>0</v>
      </c>
      <c r="AD37" s="54">
        <f t="shared" si="10"/>
        <v>46153.846153846156</v>
      </c>
      <c r="AE37" s="54">
        <f t="shared" si="11"/>
        <v>46153.846153846156</v>
      </c>
      <c r="AF37" s="60">
        <f t="shared" si="12"/>
        <v>207692.30769230769</v>
      </c>
      <c r="AG37" s="60">
        <f t="shared" si="15"/>
        <v>0</v>
      </c>
      <c r="AH37" s="55"/>
      <c r="AI37" s="55"/>
      <c r="AJ37" s="55"/>
      <c r="AK37" s="60">
        <f t="shared" si="13"/>
        <v>0</v>
      </c>
      <c r="AL37" s="61">
        <f t="shared" si="14"/>
        <v>1090564.903846154</v>
      </c>
      <c r="AM37" s="57" t="s">
        <v>217</v>
      </c>
    </row>
    <row r="38" spans="1:39" s="57" customFormat="1" ht="15.75" x14ac:dyDescent="0.25">
      <c r="A38" s="38">
        <v>33</v>
      </c>
      <c r="B38" s="36" t="s">
        <v>131</v>
      </c>
      <c r="C38" s="36" t="s">
        <v>69</v>
      </c>
      <c r="D38" s="58">
        <v>26</v>
      </c>
      <c r="E38" s="54">
        <v>4450000</v>
      </c>
      <c r="F38" s="54">
        <v>500000</v>
      </c>
      <c r="G38" s="54">
        <v>250000</v>
      </c>
      <c r="H38" s="54"/>
      <c r="I38" s="54"/>
      <c r="J38" s="54"/>
      <c r="K38" s="54">
        <v>300000</v>
      </c>
      <c r="L38" s="54">
        <v>500000</v>
      </c>
      <c r="M38" s="54">
        <f t="shared" si="0"/>
        <v>6000000</v>
      </c>
      <c r="N38" s="59">
        <f>+VLOOKUP('Bảng tính lương '!C38,'Ngày công'!$C$6:$AI$57,33,0)</f>
        <v>9</v>
      </c>
      <c r="O38" s="56">
        <f>+VLOOKUP(C38,'Ngày công'!$C$6:$AN$57,38,0)</f>
        <v>35.4</v>
      </c>
      <c r="P38" s="55">
        <f>+VLOOKUP('Bảng tính lương '!C38,'Ngày công'!$C$6:$AO$57,39,0)</f>
        <v>0</v>
      </c>
      <c r="Q38" s="55">
        <f>+VLOOKUP(C38,'Ngày công'!$C$6:$AJ$57,34,0)</f>
        <v>0</v>
      </c>
      <c r="R38" s="55"/>
      <c r="S38" s="55">
        <f>'[1]CHẤM CÔNG'!DS39</f>
        <v>0</v>
      </c>
      <c r="T38" s="55"/>
      <c r="U38" s="54">
        <f t="shared" si="1"/>
        <v>1540384.6153846155</v>
      </c>
      <c r="V38" s="54">
        <f t="shared" si="2"/>
        <v>757355.76923076925</v>
      </c>
      <c r="W38" s="54">
        <f t="shared" si="3"/>
        <v>0</v>
      </c>
      <c r="X38" s="54">
        <f t="shared" si="4"/>
        <v>2297740.384615385</v>
      </c>
      <c r="Y38" s="54">
        <f t="shared" si="5"/>
        <v>173076.92307692306</v>
      </c>
      <c r="Z38" s="54">
        <f t="shared" si="6"/>
        <v>86538.461538461532</v>
      </c>
      <c r="AA38" s="54">
        <f t="shared" si="7"/>
        <v>0</v>
      </c>
      <c r="AB38" s="54">
        <f t="shared" si="8"/>
        <v>0</v>
      </c>
      <c r="AC38" s="54">
        <f t="shared" si="9"/>
        <v>0</v>
      </c>
      <c r="AD38" s="54">
        <f t="shared" si="10"/>
        <v>103846.15384615384</v>
      </c>
      <c r="AE38" s="54">
        <f t="shared" si="11"/>
        <v>173076.92307692306</v>
      </c>
      <c r="AF38" s="60">
        <f t="shared" si="12"/>
        <v>536538.4615384615</v>
      </c>
      <c r="AG38" s="60">
        <f t="shared" si="15"/>
        <v>0</v>
      </c>
      <c r="AH38" s="55"/>
      <c r="AI38" s="55"/>
      <c r="AJ38" s="55"/>
      <c r="AK38" s="60">
        <f t="shared" si="13"/>
        <v>0</v>
      </c>
      <c r="AL38" s="61">
        <f t="shared" si="14"/>
        <v>2834278.8461538465</v>
      </c>
      <c r="AM38" s="57" t="s">
        <v>208</v>
      </c>
    </row>
    <row r="39" spans="1:39" s="57" customFormat="1" ht="15.75" x14ac:dyDescent="0.25">
      <c r="A39" s="38">
        <v>34</v>
      </c>
      <c r="B39" s="36" t="s">
        <v>132</v>
      </c>
      <c r="C39" s="36" t="s">
        <v>70</v>
      </c>
      <c r="D39" s="58">
        <v>26</v>
      </c>
      <c r="E39" s="54">
        <v>4450000</v>
      </c>
      <c r="F39" s="54">
        <v>500000</v>
      </c>
      <c r="G39" s="54">
        <v>250000</v>
      </c>
      <c r="H39" s="54"/>
      <c r="I39" s="54"/>
      <c r="J39" s="54"/>
      <c r="K39" s="54">
        <v>300000</v>
      </c>
      <c r="L39" s="54">
        <v>500000</v>
      </c>
      <c r="M39" s="54">
        <f t="shared" si="0"/>
        <v>6000000</v>
      </c>
      <c r="N39" s="59">
        <f>+VLOOKUP('Bảng tính lương '!C39,'Ngày công'!$C$6:$AI$57,33,0)</f>
        <v>8</v>
      </c>
      <c r="O39" s="56">
        <f>+VLOOKUP(C39,'Ngày công'!$C$6:$AN$57,38,0)</f>
        <v>51.25</v>
      </c>
      <c r="P39" s="55">
        <f>+VLOOKUP('Bảng tính lương '!C39,'Ngày công'!$C$6:$AO$57,39,0)</f>
        <v>0</v>
      </c>
      <c r="Q39" s="55">
        <f>+VLOOKUP(C39,'Ngày công'!$C$6:$AJ$57,34,0)</f>
        <v>0</v>
      </c>
      <c r="R39" s="55"/>
      <c r="S39" s="55">
        <f>'[1]CHẤM CÔNG'!DS40</f>
        <v>0</v>
      </c>
      <c r="T39" s="55"/>
      <c r="U39" s="54">
        <f t="shared" si="1"/>
        <v>1369230.7692307692</v>
      </c>
      <c r="V39" s="54">
        <f t="shared" si="2"/>
        <v>1096454.326923077</v>
      </c>
      <c r="W39" s="54">
        <f t="shared" si="3"/>
        <v>0</v>
      </c>
      <c r="X39" s="54">
        <f t="shared" si="4"/>
        <v>2465685.096153846</v>
      </c>
      <c r="Y39" s="54">
        <f t="shared" si="5"/>
        <v>153846.15384615384</v>
      </c>
      <c r="Z39" s="54">
        <f t="shared" si="6"/>
        <v>76923.076923076922</v>
      </c>
      <c r="AA39" s="54">
        <f t="shared" si="7"/>
        <v>0</v>
      </c>
      <c r="AB39" s="54">
        <f t="shared" si="8"/>
        <v>0</v>
      </c>
      <c r="AC39" s="54">
        <f t="shared" si="9"/>
        <v>0</v>
      </c>
      <c r="AD39" s="54">
        <f t="shared" si="10"/>
        <v>92307.692307692312</v>
      </c>
      <c r="AE39" s="54">
        <f t="shared" si="11"/>
        <v>153846.15384615384</v>
      </c>
      <c r="AF39" s="60">
        <f t="shared" si="12"/>
        <v>476923.07692307688</v>
      </c>
      <c r="AG39" s="60">
        <f t="shared" si="15"/>
        <v>0</v>
      </c>
      <c r="AH39" s="55"/>
      <c r="AI39" s="55"/>
      <c r="AJ39" s="55"/>
      <c r="AK39" s="60">
        <f t="shared" si="13"/>
        <v>0</v>
      </c>
      <c r="AL39" s="61">
        <f t="shared" si="14"/>
        <v>2942608.173076923</v>
      </c>
      <c r="AM39" s="57" t="s">
        <v>223</v>
      </c>
    </row>
    <row r="40" spans="1:39" s="57" customFormat="1" ht="15.75" x14ac:dyDescent="0.25">
      <c r="A40" s="38">
        <v>35</v>
      </c>
      <c r="B40" s="36" t="s">
        <v>133</v>
      </c>
      <c r="C40" s="36" t="s">
        <v>71</v>
      </c>
      <c r="D40" s="58">
        <v>26</v>
      </c>
      <c r="E40" s="54">
        <v>4450000</v>
      </c>
      <c r="F40" s="54">
        <v>500000</v>
      </c>
      <c r="G40" s="54">
        <v>250000</v>
      </c>
      <c r="H40" s="54"/>
      <c r="I40" s="54"/>
      <c r="J40" s="54"/>
      <c r="K40" s="54">
        <v>300000</v>
      </c>
      <c r="L40" s="54">
        <v>500000</v>
      </c>
      <c r="M40" s="54">
        <f t="shared" si="0"/>
        <v>6000000</v>
      </c>
      <c r="N40" s="59">
        <f>+VLOOKUP('Bảng tính lương '!C40,'Ngày công'!$C$6:$AI$57,33,0)</f>
        <v>7</v>
      </c>
      <c r="O40" s="56">
        <f>+VLOOKUP(C40,'Ngày công'!$C$6:$AN$57,38,0)</f>
        <v>26.4</v>
      </c>
      <c r="P40" s="55">
        <f>+VLOOKUP('Bảng tính lương '!C40,'Ngày công'!$C$6:$AO$57,39,0)</f>
        <v>0</v>
      </c>
      <c r="Q40" s="55">
        <f>+VLOOKUP(C40,'Ngày công'!$C$6:$AJ$57,34,0)</f>
        <v>0</v>
      </c>
      <c r="R40" s="55"/>
      <c r="S40" s="55">
        <f>'[1]CHẤM CÔNG'!DS41</f>
        <v>0</v>
      </c>
      <c r="T40" s="55"/>
      <c r="U40" s="54">
        <f t="shared" si="1"/>
        <v>1198076.923076923</v>
      </c>
      <c r="V40" s="54">
        <f t="shared" si="2"/>
        <v>564807.69230769225</v>
      </c>
      <c r="W40" s="54">
        <f t="shared" si="3"/>
        <v>0</v>
      </c>
      <c r="X40" s="54">
        <f t="shared" si="4"/>
        <v>1762884.6153846153</v>
      </c>
      <c r="Y40" s="54">
        <f t="shared" si="5"/>
        <v>134615.38461538462</v>
      </c>
      <c r="Z40" s="54">
        <f t="shared" si="6"/>
        <v>67307.692307692312</v>
      </c>
      <c r="AA40" s="54">
        <f t="shared" si="7"/>
        <v>0</v>
      </c>
      <c r="AB40" s="54">
        <f t="shared" si="8"/>
        <v>0</v>
      </c>
      <c r="AC40" s="54">
        <f t="shared" si="9"/>
        <v>0</v>
      </c>
      <c r="AD40" s="54">
        <f t="shared" si="10"/>
        <v>80769.23076923078</v>
      </c>
      <c r="AE40" s="54">
        <f t="shared" si="11"/>
        <v>134615.38461538462</v>
      </c>
      <c r="AF40" s="60">
        <f t="shared" si="12"/>
        <v>417307.69230769237</v>
      </c>
      <c r="AG40" s="60">
        <f t="shared" si="15"/>
        <v>0</v>
      </c>
      <c r="AH40" s="55"/>
      <c r="AI40" s="55"/>
      <c r="AJ40" s="55"/>
      <c r="AK40" s="60">
        <f t="shared" si="13"/>
        <v>0</v>
      </c>
      <c r="AL40" s="61">
        <f t="shared" si="14"/>
        <v>2180192.3076923075</v>
      </c>
      <c r="AM40" s="57" t="s">
        <v>207</v>
      </c>
    </row>
    <row r="41" spans="1:39" s="57" customFormat="1" ht="15.75" x14ac:dyDescent="0.25">
      <c r="A41" s="38">
        <v>36</v>
      </c>
      <c r="B41" s="36" t="s">
        <v>134</v>
      </c>
      <c r="C41" s="36" t="s">
        <v>72</v>
      </c>
      <c r="D41" s="58">
        <v>26</v>
      </c>
      <c r="E41" s="54">
        <v>4450000</v>
      </c>
      <c r="F41" s="54">
        <v>500000</v>
      </c>
      <c r="G41" s="54">
        <v>250000</v>
      </c>
      <c r="H41" s="54"/>
      <c r="I41" s="54"/>
      <c r="J41" s="54"/>
      <c r="K41" s="54">
        <v>300000</v>
      </c>
      <c r="L41" s="54">
        <v>500000</v>
      </c>
      <c r="M41" s="54">
        <f t="shared" si="0"/>
        <v>6000000</v>
      </c>
      <c r="N41" s="59">
        <f>+VLOOKUP('Bảng tính lương '!C41,'Ngày công'!$C$6:$AI$57,33,0)</f>
        <v>7</v>
      </c>
      <c r="O41" s="56">
        <f>+VLOOKUP(C41,'Ngày công'!$C$6:$AN$57,38,0)</f>
        <v>30.9</v>
      </c>
      <c r="P41" s="55">
        <f>+VLOOKUP('Bảng tính lương '!C41,'Ngày công'!$C$6:$AO$57,39,0)</f>
        <v>0</v>
      </c>
      <c r="Q41" s="55">
        <f>+VLOOKUP(C41,'Ngày công'!$C$6:$AJ$57,34,0)</f>
        <v>0</v>
      </c>
      <c r="R41" s="55"/>
      <c r="S41" s="55">
        <f>'[1]CHẤM CÔNG'!DS42</f>
        <v>0</v>
      </c>
      <c r="T41" s="55"/>
      <c r="U41" s="54">
        <f t="shared" si="1"/>
        <v>1198076.923076923</v>
      </c>
      <c r="V41" s="54">
        <f t="shared" si="2"/>
        <v>661081.73076923075</v>
      </c>
      <c r="W41" s="54">
        <f t="shared" si="3"/>
        <v>0</v>
      </c>
      <c r="X41" s="54">
        <f t="shared" si="4"/>
        <v>1859158.6538461538</v>
      </c>
      <c r="Y41" s="54">
        <f t="shared" si="5"/>
        <v>134615.38461538462</v>
      </c>
      <c r="Z41" s="54">
        <f t="shared" si="6"/>
        <v>67307.692307692312</v>
      </c>
      <c r="AA41" s="54">
        <f t="shared" si="7"/>
        <v>0</v>
      </c>
      <c r="AB41" s="54">
        <f t="shared" si="8"/>
        <v>0</v>
      </c>
      <c r="AC41" s="54">
        <f t="shared" si="9"/>
        <v>0</v>
      </c>
      <c r="AD41" s="54">
        <f t="shared" si="10"/>
        <v>80769.23076923078</v>
      </c>
      <c r="AE41" s="54">
        <f t="shared" si="11"/>
        <v>134615.38461538462</v>
      </c>
      <c r="AF41" s="60">
        <f t="shared" si="12"/>
        <v>417307.69230769237</v>
      </c>
      <c r="AG41" s="60">
        <f t="shared" si="15"/>
        <v>0</v>
      </c>
      <c r="AH41" s="55"/>
      <c r="AI41" s="55"/>
      <c r="AJ41" s="55"/>
      <c r="AK41" s="60">
        <f t="shared" si="13"/>
        <v>0</v>
      </c>
      <c r="AL41" s="61">
        <f t="shared" si="14"/>
        <v>2276466.346153846</v>
      </c>
    </row>
    <row r="42" spans="1:39" s="57" customFormat="1" ht="15.75" x14ac:dyDescent="0.25">
      <c r="A42" s="38">
        <v>37</v>
      </c>
      <c r="B42" s="36" t="s">
        <v>135</v>
      </c>
      <c r="C42" s="36" t="s">
        <v>73</v>
      </c>
      <c r="D42" s="58">
        <v>26</v>
      </c>
      <c r="E42" s="54">
        <v>4450000</v>
      </c>
      <c r="F42" s="54">
        <v>500000</v>
      </c>
      <c r="G42" s="54">
        <v>250000</v>
      </c>
      <c r="H42" s="54"/>
      <c r="I42" s="54"/>
      <c r="J42" s="54"/>
      <c r="K42" s="54">
        <v>300000</v>
      </c>
      <c r="L42" s="54">
        <v>500000</v>
      </c>
      <c r="M42" s="54">
        <f t="shared" si="0"/>
        <v>6000000</v>
      </c>
      <c r="N42" s="59">
        <f>+VLOOKUP('Bảng tính lương '!C42,'Ngày công'!$C$6:$AI$57,33,0)</f>
        <v>7</v>
      </c>
      <c r="O42" s="56">
        <f>+VLOOKUP(C42,'Ngày công'!$C$6:$AN$57,38,0)</f>
        <v>38.5</v>
      </c>
      <c r="P42" s="55">
        <f>+VLOOKUP('Bảng tính lương '!C42,'Ngày công'!$C$6:$AO$57,39,0)</f>
        <v>0</v>
      </c>
      <c r="Q42" s="55">
        <f>+VLOOKUP(C42,'Ngày công'!$C$6:$AJ$57,34,0)</f>
        <v>0</v>
      </c>
      <c r="R42" s="55"/>
      <c r="S42" s="55">
        <f>'[1]CHẤM CÔNG'!DS43</f>
        <v>0</v>
      </c>
      <c r="T42" s="55"/>
      <c r="U42" s="54">
        <f t="shared" si="1"/>
        <v>1198076.923076923</v>
      </c>
      <c r="V42" s="54">
        <f t="shared" si="2"/>
        <v>823677.88461538462</v>
      </c>
      <c r="W42" s="54">
        <f t="shared" si="3"/>
        <v>0</v>
      </c>
      <c r="X42" s="54">
        <f t="shared" si="4"/>
        <v>2021754.8076923075</v>
      </c>
      <c r="Y42" s="54">
        <f t="shared" si="5"/>
        <v>134615.38461538462</v>
      </c>
      <c r="Z42" s="54">
        <f t="shared" si="6"/>
        <v>67307.692307692312</v>
      </c>
      <c r="AA42" s="54">
        <f t="shared" si="7"/>
        <v>0</v>
      </c>
      <c r="AB42" s="54">
        <f t="shared" si="8"/>
        <v>0</v>
      </c>
      <c r="AC42" s="54">
        <f t="shared" si="9"/>
        <v>0</v>
      </c>
      <c r="AD42" s="54">
        <f t="shared" si="10"/>
        <v>80769.23076923078</v>
      </c>
      <c r="AE42" s="54">
        <f t="shared" si="11"/>
        <v>134615.38461538462</v>
      </c>
      <c r="AF42" s="60">
        <f t="shared" si="12"/>
        <v>417307.69230769237</v>
      </c>
      <c r="AG42" s="60">
        <f t="shared" si="15"/>
        <v>0</v>
      </c>
      <c r="AH42" s="55"/>
      <c r="AI42" s="55"/>
      <c r="AJ42" s="55"/>
      <c r="AK42" s="60">
        <f t="shared" si="13"/>
        <v>0</v>
      </c>
      <c r="AL42" s="61">
        <f t="shared" si="14"/>
        <v>2439062.5</v>
      </c>
      <c r="AM42" s="57" t="s">
        <v>219</v>
      </c>
    </row>
    <row r="43" spans="1:39" s="57" customFormat="1" ht="15.75" x14ac:dyDescent="0.25">
      <c r="A43" s="38">
        <v>38</v>
      </c>
      <c r="B43" s="36" t="s">
        <v>136</v>
      </c>
      <c r="C43" s="36" t="s">
        <v>74</v>
      </c>
      <c r="D43" s="58">
        <v>26</v>
      </c>
      <c r="E43" s="54">
        <v>4450000</v>
      </c>
      <c r="F43" s="54">
        <v>500000</v>
      </c>
      <c r="G43" s="54">
        <v>250000</v>
      </c>
      <c r="H43" s="54"/>
      <c r="I43" s="54"/>
      <c r="J43" s="54"/>
      <c r="K43" s="54">
        <v>300000</v>
      </c>
      <c r="L43" s="54">
        <v>1220000</v>
      </c>
      <c r="M43" s="54">
        <f t="shared" si="0"/>
        <v>6720000</v>
      </c>
      <c r="N43" s="59">
        <f>+VLOOKUP('Bảng tính lương '!C43,'Ngày công'!$C$6:$AI$57,33,0)</f>
        <v>7</v>
      </c>
      <c r="O43" s="56">
        <f>+VLOOKUP(C43,'Ngày công'!$C$6:$AN$57,38,0)</f>
        <v>38.5</v>
      </c>
      <c r="P43" s="55">
        <f>+VLOOKUP('Bảng tính lương '!C43,'Ngày công'!$C$6:$AO$57,39,0)</f>
        <v>0</v>
      </c>
      <c r="Q43" s="55">
        <f>+VLOOKUP(C43,'Ngày công'!$C$6:$AJ$57,34,0)</f>
        <v>0</v>
      </c>
      <c r="R43" s="55"/>
      <c r="S43" s="55">
        <f>'[1]CHẤM CÔNG'!DS44</f>
        <v>0</v>
      </c>
      <c r="T43" s="55"/>
      <c r="U43" s="54">
        <f t="shared" si="1"/>
        <v>1198076.923076923</v>
      </c>
      <c r="V43" s="54">
        <f t="shared" si="2"/>
        <v>823677.88461538462</v>
      </c>
      <c r="W43" s="54">
        <f t="shared" si="3"/>
        <v>0</v>
      </c>
      <c r="X43" s="54">
        <f t="shared" si="4"/>
        <v>2021754.8076923075</v>
      </c>
      <c r="Y43" s="54">
        <f t="shared" si="5"/>
        <v>134615.38461538462</v>
      </c>
      <c r="Z43" s="54">
        <f t="shared" si="6"/>
        <v>67307.692307692312</v>
      </c>
      <c r="AA43" s="54">
        <f t="shared" si="7"/>
        <v>0</v>
      </c>
      <c r="AB43" s="54">
        <f t="shared" si="8"/>
        <v>0</v>
      </c>
      <c r="AC43" s="54">
        <f t="shared" si="9"/>
        <v>0</v>
      </c>
      <c r="AD43" s="54">
        <f t="shared" si="10"/>
        <v>80769.23076923078</v>
      </c>
      <c r="AE43" s="54">
        <f t="shared" si="11"/>
        <v>328461.53846153844</v>
      </c>
      <c r="AF43" s="60">
        <f t="shared" si="12"/>
        <v>611153.84615384624</v>
      </c>
      <c r="AG43" s="60">
        <f t="shared" si="15"/>
        <v>0</v>
      </c>
      <c r="AH43" s="55"/>
      <c r="AI43" s="55"/>
      <c r="AJ43" s="55"/>
      <c r="AK43" s="60">
        <f t="shared" si="13"/>
        <v>0</v>
      </c>
      <c r="AL43" s="61">
        <f t="shared" si="14"/>
        <v>2632908.653846154</v>
      </c>
      <c r="AM43" s="57" t="s">
        <v>218</v>
      </c>
    </row>
    <row r="44" spans="1:39" s="57" customFormat="1" ht="15.75" x14ac:dyDescent="0.25">
      <c r="A44" s="38">
        <v>39</v>
      </c>
      <c r="B44" s="36" t="s">
        <v>137</v>
      </c>
      <c r="C44" s="36" t="s">
        <v>75</v>
      </c>
      <c r="D44" s="58">
        <v>26</v>
      </c>
      <c r="E44" s="54">
        <v>4450000</v>
      </c>
      <c r="F44" s="54"/>
      <c r="G44" s="54">
        <v>250000</v>
      </c>
      <c r="H44" s="54"/>
      <c r="I44" s="54">
        <v>500000</v>
      </c>
      <c r="J44" s="54">
        <v>500000</v>
      </c>
      <c r="K44" s="54">
        <v>300000</v>
      </c>
      <c r="L44" s="54">
        <v>1500000</v>
      </c>
      <c r="M44" s="54">
        <f>SUM(E44:L44)</f>
        <v>7500000</v>
      </c>
      <c r="N44" s="59">
        <f>+VLOOKUP('Bảng tính lương '!C44,'Ngày công'!$C$6:$AI$57,33,0)</f>
        <v>7</v>
      </c>
      <c r="O44" s="56">
        <f>+VLOOKUP(C44,'Ngày công'!$C$6:$AN$57,38,0)</f>
        <v>50.95</v>
      </c>
      <c r="P44" s="55">
        <f>+VLOOKUP('Bảng tính lương '!C44,'Ngày công'!$C$6:$AO$57,39,0)</f>
        <v>0</v>
      </c>
      <c r="Q44" s="55">
        <f>+VLOOKUP(C44,'Ngày công'!$C$6:$AJ$57,34,0)</f>
        <v>0</v>
      </c>
      <c r="R44" s="55"/>
      <c r="S44" s="55">
        <f>'[1]CHẤM CÔNG'!DS45</f>
        <v>0</v>
      </c>
      <c r="T44" s="55"/>
      <c r="U44" s="54">
        <f t="shared" si="1"/>
        <v>1198076.923076923</v>
      </c>
      <c r="V44" s="54">
        <f t="shared" si="2"/>
        <v>1090036.0576923077</v>
      </c>
      <c r="W44" s="54">
        <f t="shared" si="3"/>
        <v>0</v>
      </c>
      <c r="X44" s="54">
        <f t="shared" si="4"/>
        <v>2288112.980769231</v>
      </c>
      <c r="Y44" s="54">
        <f t="shared" si="5"/>
        <v>0</v>
      </c>
      <c r="Z44" s="54">
        <f t="shared" si="6"/>
        <v>67307.692307692312</v>
      </c>
      <c r="AA44" s="54">
        <f t="shared" si="7"/>
        <v>0</v>
      </c>
      <c r="AB44" s="54">
        <f t="shared" si="8"/>
        <v>134615.38461538462</v>
      </c>
      <c r="AC44" s="54">
        <f>J44</f>
        <v>500000</v>
      </c>
      <c r="AD44" s="54">
        <f t="shared" si="10"/>
        <v>80769.23076923078</v>
      </c>
      <c r="AE44" s="54">
        <f t="shared" si="11"/>
        <v>403846.15384615387</v>
      </c>
      <c r="AF44" s="60">
        <f t="shared" si="12"/>
        <v>1186538.4615384615</v>
      </c>
      <c r="AG44" s="60">
        <f t="shared" si="15"/>
        <v>0</v>
      </c>
      <c r="AH44" s="55"/>
      <c r="AI44" s="55"/>
      <c r="AJ44" s="55"/>
      <c r="AK44" s="60">
        <f t="shared" si="13"/>
        <v>0</v>
      </c>
      <c r="AL44" s="61">
        <f t="shared" si="14"/>
        <v>3474651.4423076925</v>
      </c>
      <c r="AM44" s="57" t="s">
        <v>228</v>
      </c>
    </row>
    <row r="45" spans="1:39" s="57" customFormat="1" ht="15.75" x14ac:dyDescent="0.25">
      <c r="A45" s="38">
        <v>40</v>
      </c>
      <c r="B45" s="36" t="s">
        <v>138</v>
      </c>
      <c r="C45" s="36" t="s">
        <v>76</v>
      </c>
      <c r="D45" s="58">
        <v>26</v>
      </c>
      <c r="E45" s="54">
        <v>4855000</v>
      </c>
      <c r="F45" s="54"/>
      <c r="G45" s="54">
        <v>250000</v>
      </c>
      <c r="H45" s="54">
        <v>1000000</v>
      </c>
      <c r="I45" s="54">
        <v>500000</v>
      </c>
      <c r="J45" s="54">
        <v>500000</v>
      </c>
      <c r="K45" s="54">
        <v>300000</v>
      </c>
      <c r="L45" s="54">
        <v>2595000</v>
      </c>
      <c r="M45" s="54">
        <f t="shared" si="0"/>
        <v>10000000</v>
      </c>
      <c r="N45" s="59">
        <f>+VLOOKUP('Bảng tính lương '!C45,'Ngày công'!$C$6:$AI$57,33,0)</f>
        <v>7</v>
      </c>
      <c r="O45" s="56">
        <f>+VLOOKUP(C45,'Ngày công'!$C$6:$AN$57,38,0)</f>
        <v>58.6</v>
      </c>
      <c r="P45" s="55">
        <f>+VLOOKUP('Bảng tính lương '!C45,'Ngày công'!$C$6:$AO$57,39,0)</f>
        <v>0</v>
      </c>
      <c r="Q45" s="55">
        <f>+VLOOKUP(C45,'Ngày công'!$C$6:$AJ$57,34,0)</f>
        <v>0</v>
      </c>
      <c r="R45" s="55"/>
      <c r="S45" s="55">
        <f>'[1]CHẤM CÔNG'!DS46</f>
        <v>0</v>
      </c>
      <c r="T45" s="55"/>
      <c r="U45" s="54">
        <f t="shared" si="1"/>
        <v>1307115.3846153845</v>
      </c>
      <c r="V45" s="54">
        <f t="shared" si="2"/>
        <v>1367802.8846153845</v>
      </c>
      <c r="W45" s="54">
        <f t="shared" si="3"/>
        <v>0</v>
      </c>
      <c r="X45" s="54">
        <f t="shared" si="4"/>
        <v>2674918.269230769</v>
      </c>
      <c r="Y45" s="54">
        <f>F45/D45*N45</f>
        <v>0</v>
      </c>
      <c r="Z45" s="54">
        <f t="shared" si="6"/>
        <v>67307.692307692312</v>
      </c>
      <c r="AA45" s="54">
        <f>H45/D45*N45</f>
        <v>269230.76923076925</v>
      </c>
      <c r="AB45" s="54">
        <f>I45/26*N45</f>
        <v>134615.38461538462</v>
      </c>
      <c r="AC45" s="54">
        <f>J45</f>
        <v>500000</v>
      </c>
      <c r="AD45" s="54">
        <f>K45/D45*N45</f>
        <v>80769.23076923078</v>
      </c>
      <c r="AE45" s="54">
        <f t="shared" si="11"/>
        <v>698653.84615384624</v>
      </c>
      <c r="AF45" s="60">
        <f>SUM(Y45:AE45)</f>
        <v>1750576.9230769232</v>
      </c>
      <c r="AG45" s="60">
        <f t="shared" si="15"/>
        <v>0</v>
      </c>
      <c r="AH45" s="55"/>
      <c r="AI45" s="55"/>
      <c r="AJ45" s="55"/>
      <c r="AK45" s="60">
        <f t="shared" si="13"/>
        <v>0</v>
      </c>
      <c r="AL45" s="61">
        <f t="shared" si="14"/>
        <v>4425495.192307692</v>
      </c>
      <c r="AM45" s="57" t="s">
        <v>228</v>
      </c>
    </row>
    <row r="46" spans="1:39" s="57" customFormat="1" ht="15.75" x14ac:dyDescent="0.25">
      <c r="A46" s="38">
        <v>41</v>
      </c>
      <c r="B46" s="36" t="s">
        <v>139</v>
      </c>
      <c r="C46" s="36" t="s">
        <v>77</v>
      </c>
      <c r="D46" s="58">
        <v>26</v>
      </c>
      <c r="E46" s="54">
        <v>4450000</v>
      </c>
      <c r="F46" s="54">
        <v>500000</v>
      </c>
      <c r="G46" s="54">
        <v>250000</v>
      </c>
      <c r="H46" s="54"/>
      <c r="I46" s="54"/>
      <c r="J46" s="54"/>
      <c r="K46" s="54">
        <v>300000</v>
      </c>
      <c r="L46" s="54">
        <v>500000</v>
      </c>
      <c r="M46" s="54">
        <f t="shared" si="0"/>
        <v>6000000</v>
      </c>
      <c r="N46" s="59">
        <f>+VLOOKUP('Bảng tính lương '!C46,'Ngày công'!$C$6:$AI$57,33,0)</f>
        <v>7</v>
      </c>
      <c r="O46" s="56">
        <f>+VLOOKUP(C46,'Ngày công'!$C$6:$AN$57,38,0)</f>
        <v>38.5</v>
      </c>
      <c r="P46" s="55">
        <f>+VLOOKUP('Bảng tính lương '!C46,'Ngày công'!$C$6:$AO$57,39,0)</f>
        <v>0</v>
      </c>
      <c r="Q46" s="55">
        <f>+VLOOKUP(C46,'Ngày công'!$C$6:$AJ$57,34,0)</f>
        <v>0</v>
      </c>
      <c r="R46" s="55"/>
      <c r="S46" s="55">
        <f>'[1]CHẤM CÔNG'!DS47</f>
        <v>0</v>
      </c>
      <c r="T46" s="55"/>
      <c r="U46" s="54">
        <f t="shared" si="1"/>
        <v>1198076.923076923</v>
      </c>
      <c r="V46" s="54">
        <f t="shared" si="2"/>
        <v>823677.88461538462</v>
      </c>
      <c r="W46" s="54">
        <f t="shared" si="3"/>
        <v>0</v>
      </c>
      <c r="X46" s="54">
        <f t="shared" si="4"/>
        <v>2021754.8076923075</v>
      </c>
      <c r="Y46" s="54">
        <f t="shared" si="5"/>
        <v>134615.38461538462</v>
      </c>
      <c r="Z46" s="54">
        <f t="shared" si="6"/>
        <v>67307.692307692312</v>
      </c>
      <c r="AA46" s="54">
        <f t="shared" si="7"/>
        <v>0</v>
      </c>
      <c r="AB46" s="54">
        <f t="shared" si="8"/>
        <v>0</v>
      </c>
      <c r="AC46" s="54">
        <f t="shared" si="9"/>
        <v>0</v>
      </c>
      <c r="AD46" s="54">
        <f t="shared" si="10"/>
        <v>80769.23076923078</v>
      </c>
      <c r="AE46" s="54">
        <f t="shared" si="11"/>
        <v>134615.38461538462</v>
      </c>
      <c r="AF46" s="60">
        <f t="shared" si="12"/>
        <v>417307.69230769237</v>
      </c>
      <c r="AG46" s="60">
        <f t="shared" si="15"/>
        <v>0</v>
      </c>
      <c r="AH46" s="55"/>
      <c r="AI46" s="55"/>
      <c r="AJ46" s="55"/>
      <c r="AK46" s="60">
        <f t="shared" si="13"/>
        <v>0</v>
      </c>
      <c r="AL46" s="61">
        <f t="shared" si="14"/>
        <v>2439062.5</v>
      </c>
      <c r="AM46" s="57" t="s">
        <v>220</v>
      </c>
    </row>
    <row r="47" spans="1:39" s="75" customFormat="1" ht="15.75" x14ac:dyDescent="0.25">
      <c r="A47" s="38">
        <v>42</v>
      </c>
      <c r="B47" s="38" t="s">
        <v>140</v>
      </c>
      <c r="C47" s="37" t="s">
        <v>78</v>
      </c>
      <c r="D47" s="68">
        <v>26</v>
      </c>
      <c r="E47" s="69">
        <v>4150000</v>
      </c>
      <c r="F47" s="69">
        <v>500000</v>
      </c>
      <c r="G47" s="69">
        <v>250000</v>
      </c>
      <c r="H47" s="69"/>
      <c r="I47" s="69"/>
      <c r="J47" s="69"/>
      <c r="K47" s="69">
        <v>300000</v>
      </c>
      <c r="L47" s="69">
        <v>300000</v>
      </c>
      <c r="M47" s="69">
        <f>SUM(E47:L47)</f>
        <v>5500000</v>
      </c>
      <c r="N47" s="59">
        <f>+VLOOKUP('Bảng tính lương '!C47,'Ngày công'!$C$6:$AI$57,33,0)</f>
        <v>5</v>
      </c>
      <c r="O47" s="56">
        <f>+VLOOKUP(C47,'Ngày công'!$C$6:$AN$57,38,0)</f>
        <v>0</v>
      </c>
      <c r="P47" s="55">
        <f>+VLOOKUP('Bảng tính lương '!C47,'Ngày công'!$C$6:$AO$57,39,0)</f>
        <v>0</v>
      </c>
      <c r="Q47" s="55">
        <f>+VLOOKUP(C47,'Ngày công'!$C$6:$AJ$57,34,0)</f>
        <v>0</v>
      </c>
      <c r="R47" s="72"/>
      <c r="S47" s="72">
        <f>'[1]CHẤM CÔNG'!DS48</f>
        <v>0</v>
      </c>
      <c r="T47" s="72"/>
      <c r="U47" s="69">
        <f>E47/D47*N47</f>
        <v>798076.92307692312</v>
      </c>
      <c r="V47" s="69">
        <f>E47/D47/8*O47</f>
        <v>0</v>
      </c>
      <c r="W47" s="69">
        <f>E47/D47*P47*3</f>
        <v>0</v>
      </c>
      <c r="X47" s="69">
        <f>U47+V47+W47</f>
        <v>798076.92307692312</v>
      </c>
      <c r="Y47" s="69">
        <f>F47/D47*N47</f>
        <v>96153.846153846156</v>
      </c>
      <c r="Z47" s="69">
        <f>G47/D47*N47</f>
        <v>48076.923076923078</v>
      </c>
      <c r="AA47" s="69">
        <f>H47/D47*N47</f>
        <v>0</v>
      </c>
      <c r="AB47" s="69">
        <f>I47/26*N47</f>
        <v>0</v>
      </c>
      <c r="AC47" s="69">
        <f>J47</f>
        <v>0</v>
      </c>
      <c r="AD47" s="69">
        <f>K47/D47*N47</f>
        <v>57692.307692307695</v>
      </c>
      <c r="AE47" s="69">
        <f>L47/D47*N47</f>
        <v>57692.307692307695</v>
      </c>
      <c r="AF47" s="73">
        <f>SUM(Y47:AE47)</f>
        <v>259615.38461538462</v>
      </c>
      <c r="AG47" s="73">
        <f>E47/D47/8*S47</f>
        <v>0</v>
      </c>
      <c r="AH47" s="72"/>
      <c r="AI47" s="72"/>
      <c r="AJ47" s="72"/>
      <c r="AK47" s="73">
        <f>SUM(AG47:AJ47)</f>
        <v>0</v>
      </c>
      <c r="AL47" s="74">
        <f>X47+AF47-AK47</f>
        <v>1057692.3076923077</v>
      </c>
      <c r="AM47" s="75" t="s">
        <v>217</v>
      </c>
    </row>
    <row r="48" spans="1:39" s="75" customFormat="1" ht="15.75" x14ac:dyDescent="0.25">
      <c r="A48" s="38">
        <v>43</v>
      </c>
      <c r="B48" s="38" t="s">
        <v>141</v>
      </c>
      <c r="C48" s="38" t="s">
        <v>79</v>
      </c>
      <c r="D48" s="68">
        <v>26</v>
      </c>
      <c r="E48" s="69">
        <v>4450000</v>
      </c>
      <c r="F48" s="69">
        <v>500000</v>
      </c>
      <c r="G48" s="69">
        <v>250000</v>
      </c>
      <c r="H48" s="69"/>
      <c r="I48" s="69"/>
      <c r="J48" s="69"/>
      <c r="K48" s="69">
        <v>300000</v>
      </c>
      <c r="L48" s="69">
        <v>500000</v>
      </c>
      <c r="M48" s="69">
        <f t="shared" si="0"/>
        <v>6000000</v>
      </c>
      <c r="N48" s="70">
        <f>+VLOOKUP('Bảng tính lương '!C48,'Ngày công'!$C$6:$AI$57,33,0)</f>
        <v>6</v>
      </c>
      <c r="O48" s="71">
        <f>+VLOOKUP(C48,'Ngày công'!$C$6:$AN$57,38,0)</f>
        <v>41.5</v>
      </c>
      <c r="P48" s="72">
        <f>+VLOOKUP('Bảng tính lương '!C48,'Ngày công'!$C$6:$AO$57,39,0)</f>
        <v>0</v>
      </c>
      <c r="Q48" s="72">
        <f>+VLOOKUP(C48,'Ngày công'!$C$6:$AJ$57,34,0)</f>
        <v>0</v>
      </c>
      <c r="R48" s="72"/>
      <c r="S48" s="72">
        <f>'[1]CHẤM CÔNG'!DS49</f>
        <v>0</v>
      </c>
      <c r="T48" s="72"/>
      <c r="U48" s="69">
        <f t="shared" si="1"/>
        <v>1026923.076923077</v>
      </c>
      <c r="V48" s="69">
        <f t="shared" si="2"/>
        <v>887860.57692307688</v>
      </c>
      <c r="W48" s="69">
        <f t="shared" si="3"/>
        <v>0</v>
      </c>
      <c r="X48" s="69">
        <f t="shared" si="4"/>
        <v>1914783.653846154</v>
      </c>
      <c r="Y48" s="69">
        <f t="shared" si="5"/>
        <v>115384.61538461538</v>
      </c>
      <c r="Z48" s="69">
        <f t="shared" si="6"/>
        <v>57692.307692307688</v>
      </c>
      <c r="AA48" s="69">
        <f t="shared" si="7"/>
        <v>0</v>
      </c>
      <c r="AB48" s="69">
        <f t="shared" si="8"/>
        <v>0</v>
      </c>
      <c r="AC48" s="69">
        <f t="shared" si="9"/>
        <v>0</v>
      </c>
      <c r="AD48" s="69">
        <f t="shared" si="10"/>
        <v>69230.769230769234</v>
      </c>
      <c r="AE48" s="69">
        <f t="shared" si="11"/>
        <v>115384.61538461538</v>
      </c>
      <c r="AF48" s="73">
        <f t="shared" si="12"/>
        <v>357692.30769230769</v>
      </c>
      <c r="AG48" s="73">
        <f t="shared" si="15"/>
        <v>0</v>
      </c>
      <c r="AH48" s="72"/>
      <c r="AI48" s="72"/>
      <c r="AJ48" s="72"/>
      <c r="AK48" s="73">
        <f t="shared" si="13"/>
        <v>0</v>
      </c>
      <c r="AL48" s="74">
        <f t="shared" si="14"/>
        <v>2272475.9615384615</v>
      </c>
      <c r="AM48" s="75" t="s">
        <v>217</v>
      </c>
    </row>
    <row r="49" spans="1:39" s="81" customFormat="1" ht="15.75" x14ac:dyDescent="0.25">
      <c r="A49" s="38">
        <v>44</v>
      </c>
      <c r="B49" s="51" t="s">
        <v>142</v>
      </c>
      <c r="C49" s="51" t="s">
        <v>80</v>
      </c>
      <c r="D49" s="76">
        <v>26</v>
      </c>
      <c r="E49" s="77">
        <v>4450000</v>
      </c>
      <c r="F49" s="77">
        <v>500000</v>
      </c>
      <c r="G49" s="77">
        <v>250000</v>
      </c>
      <c r="H49" s="77"/>
      <c r="I49" s="77"/>
      <c r="J49" s="77"/>
      <c r="K49" s="77">
        <v>300000</v>
      </c>
      <c r="L49" s="77">
        <v>500000</v>
      </c>
      <c r="M49" s="77">
        <f t="shared" si="0"/>
        <v>6000000</v>
      </c>
      <c r="N49" s="59">
        <f>+VLOOKUP('Bảng tính lương '!C49,'Ngày công'!$C$6:$AI$57,33,0)</f>
        <v>4</v>
      </c>
      <c r="O49" s="56">
        <f>+VLOOKUP(C49,'Ngày công'!$C$6:$AN$57,38,0)</f>
        <v>9.75</v>
      </c>
      <c r="P49" s="55">
        <f>+VLOOKUP('Bảng tính lương '!C49,'Ngày công'!$C$6:$AO$57,39,0)</f>
        <v>0</v>
      </c>
      <c r="Q49" s="55">
        <f>+VLOOKUP(C49,'Ngày công'!$C$6:$AJ$57,34,0)</f>
        <v>0</v>
      </c>
      <c r="R49" s="78"/>
      <c r="S49" s="78">
        <f>'[1]CHẤM CÔNG'!DS50</f>
        <v>0</v>
      </c>
      <c r="T49" s="78"/>
      <c r="U49" s="77">
        <f t="shared" si="1"/>
        <v>684615.38461538462</v>
      </c>
      <c r="V49" s="77">
        <f t="shared" si="2"/>
        <v>208593.75</v>
      </c>
      <c r="W49" s="77">
        <f t="shared" si="3"/>
        <v>0</v>
      </c>
      <c r="X49" s="77">
        <f t="shared" si="4"/>
        <v>893209.13461538462</v>
      </c>
      <c r="Y49" s="77">
        <f t="shared" si="5"/>
        <v>76923.076923076922</v>
      </c>
      <c r="Z49" s="77">
        <f t="shared" si="6"/>
        <v>38461.538461538461</v>
      </c>
      <c r="AA49" s="77">
        <f t="shared" si="7"/>
        <v>0</v>
      </c>
      <c r="AB49" s="77">
        <f t="shared" si="8"/>
        <v>0</v>
      </c>
      <c r="AC49" s="77">
        <f t="shared" si="9"/>
        <v>0</v>
      </c>
      <c r="AD49" s="77">
        <f t="shared" si="10"/>
        <v>46153.846153846156</v>
      </c>
      <c r="AE49" s="77">
        <f t="shared" si="11"/>
        <v>76923.076923076922</v>
      </c>
      <c r="AF49" s="79">
        <f t="shared" si="12"/>
        <v>238461.53846153844</v>
      </c>
      <c r="AG49" s="79">
        <f t="shared" si="15"/>
        <v>0</v>
      </c>
      <c r="AH49" s="78"/>
      <c r="AI49" s="78"/>
      <c r="AJ49" s="78"/>
      <c r="AK49" s="79">
        <f t="shared" si="13"/>
        <v>0</v>
      </c>
      <c r="AL49" s="80">
        <f t="shared" si="14"/>
        <v>1131670.673076923</v>
      </c>
      <c r="AM49" s="81" t="s">
        <v>221</v>
      </c>
    </row>
    <row r="50" spans="1:39" s="81" customFormat="1" ht="15.75" x14ac:dyDescent="0.25">
      <c r="A50" s="38">
        <v>45</v>
      </c>
      <c r="B50" s="38" t="s">
        <v>143</v>
      </c>
      <c r="C50" s="37" t="s">
        <v>81</v>
      </c>
      <c r="D50" s="68">
        <v>26</v>
      </c>
      <c r="E50" s="69">
        <v>5000000</v>
      </c>
      <c r="F50" s="69">
        <v>500000</v>
      </c>
      <c r="G50" s="69">
        <v>250000</v>
      </c>
      <c r="H50" s="69"/>
      <c r="I50" s="69"/>
      <c r="J50" s="69">
        <v>450000</v>
      </c>
      <c r="K50" s="69">
        <v>300000</v>
      </c>
      <c r="L50" s="69">
        <v>500000</v>
      </c>
      <c r="M50" s="69">
        <f t="shared" si="0"/>
        <v>7000000</v>
      </c>
      <c r="N50" s="70">
        <f>+VLOOKUP('Bảng tính lương '!C50,'Ngày công'!$C$6:$AI$57,33,0)</f>
        <v>9</v>
      </c>
      <c r="O50" s="71">
        <f>+VLOOKUP(C50,'Ngày công'!$C$6:$AN$57,38,0)</f>
        <v>17.5</v>
      </c>
      <c r="P50" s="72">
        <f>+VLOOKUP('Bảng tính lương '!C50,'Ngày công'!$C$6:$AO$57,39,0)</f>
        <v>0</v>
      </c>
      <c r="Q50" s="72">
        <f>+VLOOKUP(C50,'Ngày công'!$C$6:$AJ$57,34,0)</f>
        <v>0</v>
      </c>
      <c r="R50" s="72"/>
      <c r="S50" s="72">
        <f>'[1]CHẤM CÔNG'!DS51</f>
        <v>0</v>
      </c>
      <c r="T50" s="72"/>
      <c r="U50" s="69">
        <f t="shared" si="1"/>
        <v>1730769.2307692308</v>
      </c>
      <c r="V50" s="69">
        <f t="shared" si="2"/>
        <v>420673.07692307694</v>
      </c>
      <c r="W50" s="69">
        <f t="shared" si="3"/>
        <v>0</v>
      </c>
      <c r="X50" s="69">
        <f t="shared" si="4"/>
        <v>2151442.3076923075</v>
      </c>
      <c r="Y50" s="69">
        <f t="shared" si="5"/>
        <v>173076.92307692306</v>
      </c>
      <c r="Z50" s="69">
        <f t="shared" si="6"/>
        <v>86538.461538461532</v>
      </c>
      <c r="AA50" s="69">
        <f t="shared" si="7"/>
        <v>0</v>
      </c>
      <c r="AB50" s="69">
        <f t="shared" si="8"/>
        <v>0</v>
      </c>
      <c r="AC50" s="69">
        <f t="shared" si="9"/>
        <v>450000</v>
      </c>
      <c r="AD50" s="69">
        <f t="shared" si="10"/>
        <v>103846.15384615384</v>
      </c>
      <c r="AE50" s="69">
        <f t="shared" si="11"/>
        <v>173076.92307692306</v>
      </c>
      <c r="AF50" s="73">
        <f t="shared" si="12"/>
        <v>986538.4615384615</v>
      </c>
      <c r="AG50" s="73">
        <f t="shared" si="15"/>
        <v>0</v>
      </c>
      <c r="AH50" s="72"/>
      <c r="AI50" s="72"/>
      <c r="AJ50" s="72"/>
      <c r="AK50" s="73">
        <f t="shared" si="13"/>
        <v>0</v>
      </c>
      <c r="AL50" s="74">
        <f t="shared" si="14"/>
        <v>3137980.769230769</v>
      </c>
    </row>
    <row r="51" spans="1:39" s="81" customFormat="1" ht="15.75" x14ac:dyDescent="0.25">
      <c r="A51" s="38">
        <v>46</v>
      </c>
      <c r="B51" s="51" t="s">
        <v>144</v>
      </c>
      <c r="C51" s="52" t="s">
        <v>82</v>
      </c>
      <c r="D51" s="76">
        <v>26</v>
      </c>
      <c r="E51" s="77">
        <v>4450000</v>
      </c>
      <c r="F51" s="77">
        <v>500000</v>
      </c>
      <c r="G51" s="77">
        <v>250000</v>
      </c>
      <c r="H51" s="77"/>
      <c r="I51" s="77"/>
      <c r="J51" s="77"/>
      <c r="K51" s="77">
        <v>300000</v>
      </c>
      <c r="L51" s="77">
        <v>500000</v>
      </c>
      <c r="M51" s="77">
        <f t="shared" si="0"/>
        <v>6000000</v>
      </c>
      <c r="N51" s="59">
        <f>+VLOOKUP('Bảng tính lương '!C51,'Ngày công'!$C$6:$AI$57,33,0)</f>
        <v>3</v>
      </c>
      <c r="O51" s="56">
        <f>+VLOOKUP(C51,'Ngày công'!$C$6:$AN$57,38,0)</f>
        <v>17.25</v>
      </c>
      <c r="P51" s="55">
        <f>+VLOOKUP('Bảng tính lương '!C51,'Ngày công'!$C$6:$AO$57,39,0)</f>
        <v>0</v>
      </c>
      <c r="Q51" s="55">
        <f>+VLOOKUP(C51,'Ngày công'!$C$6:$AJ$57,34,0)</f>
        <v>0</v>
      </c>
      <c r="R51" s="78"/>
      <c r="S51" s="78">
        <f>'[1]CHẤM CÔNG'!DS52</f>
        <v>0</v>
      </c>
      <c r="T51" s="78"/>
      <c r="U51" s="77">
        <f t="shared" si="1"/>
        <v>513461.5384615385</v>
      </c>
      <c r="V51" s="77">
        <f t="shared" si="2"/>
        <v>369050.48076923075</v>
      </c>
      <c r="W51" s="77">
        <f t="shared" si="3"/>
        <v>0</v>
      </c>
      <c r="X51" s="77">
        <f t="shared" si="4"/>
        <v>882512.01923076925</v>
      </c>
      <c r="Y51" s="77">
        <f>F51/D51*N51</f>
        <v>57692.307692307688</v>
      </c>
      <c r="Z51" s="77">
        <f t="shared" si="6"/>
        <v>28846.153846153844</v>
      </c>
      <c r="AA51" s="77">
        <f t="shared" si="7"/>
        <v>0</v>
      </c>
      <c r="AB51" s="77">
        <f t="shared" si="8"/>
        <v>0</v>
      </c>
      <c r="AC51" s="77">
        <f t="shared" si="9"/>
        <v>0</v>
      </c>
      <c r="AD51" s="77">
        <f t="shared" si="10"/>
        <v>34615.384615384617</v>
      </c>
      <c r="AE51" s="77">
        <f t="shared" si="11"/>
        <v>57692.307692307688</v>
      </c>
      <c r="AF51" s="79">
        <f t="shared" si="12"/>
        <v>178846.15384615384</v>
      </c>
      <c r="AG51" s="79">
        <f t="shared" si="15"/>
        <v>0</v>
      </c>
      <c r="AH51" s="78"/>
      <c r="AI51" s="78"/>
      <c r="AJ51" s="78"/>
      <c r="AK51" s="79">
        <f t="shared" si="13"/>
        <v>0</v>
      </c>
      <c r="AL51" s="80">
        <f t="shared" si="14"/>
        <v>1061358.173076923</v>
      </c>
      <c r="AM51" s="81" t="s">
        <v>222</v>
      </c>
    </row>
    <row r="52" spans="1:39" s="81" customFormat="1" ht="15.75" x14ac:dyDescent="0.25">
      <c r="A52" s="38">
        <v>47</v>
      </c>
      <c r="B52" s="51" t="s">
        <v>145</v>
      </c>
      <c r="C52" s="52" t="s">
        <v>83</v>
      </c>
      <c r="D52" s="76">
        <v>26</v>
      </c>
      <c r="E52" s="77">
        <v>4450000</v>
      </c>
      <c r="F52" s="77">
        <v>500000</v>
      </c>
      <c r="G52" s="77">
        <v>250000</v>
      </c>
      <c r="H52" s="77"/>
      <c r="I52" s="77"/>
      <c r="J52" s="77"/>
      <c r="K52" s="77">
        <v>300000</v>
      </c>
      <c r="L52" s="77">
        <v>500000</v>
      </c>
      <c r="M52" s="77">
        <f t="shared" si="0"/>
        <v>6000000</v>
      </c>
      <c r="N52" s="59">
        <f>+VLOOKUP('Bảng tính lương '!C52,'Ngày công'!$C$6:$AI$57,33,0)</f>
        <v>4</v>
      </c>
      <c r="O52" s="56">
        <f>+VLOOKUP(C52,'Ngày công'!$C$6:$AN$57,38,0)</f>
        <v>29.7</v>
      </c>
      <c r="P52" s="55">
        <f>+VLOOKUP('Bảng tính lương '!C52,'Ngày công'!$C$6:$AO$57,39,0)</f>
        <v>0</v>
      </c>
      <c r="Q52" s="55">
        <f>+VLOOKUP(C52,'Ngày công'!$C$6:$AJ$57,34,0)</f>
        <v>0</v>
      </c>
      <c r="R52" s="78"/>
      <c r="S52" s="78">
        <f>'[1]CHẤM CÔNG'!DS53</f>
        <v>0</v>
      </c>
      <c r="T52" s="78"/>
      <c r="U52" s="77">
        <f t="shared" si="1"/>
        <v>684615.38461538462</v>
      </c>
      <c r="V52" s="77">
        <f t="shared" si="2"/>
        <v>635408.65384615387</v>
      </c>
      <c r="W52" s="77">
        <f t="shared" si="3"/>
        <v>0</v>
      </c>
      <c r="X52" s="77">
        <f t="shared" si="4"/>
        <v>1320024.0384615385</v>
      </c>
      <c r="Y52" s="77">
        <f t="shared" si="5"/>
        <v>76923.076923076922</v>
      </c>
      <c r="Z52" s="77">
        <f t="shared" si="6"/>
        <v>38461.538461538461</v>
      </c>
      <c r="AA52" s="77">
        <f t="shared" si="7"/>
        <v>0</v>
      </c>
      <c r="AB52" s="77">
        <f t="shared" si="8"/>
        <v>0</v>
      </c>
      <c r="AC52" s="77">
        <f t="shared" si="9"/>
        <v>0</v>
      </c>
      <c r="AD52" s="77">
        <f t="shared" si="10"/>
        <v>46153.846153846156</v>
      </c>
      <c r="AE52" s="77">
        <f t="shared" si="11"/>
        <v>76923.076923076922</v>
      </c>
      <c r="AF52" s="79">
        <f t="shared" si="12"/>
        <v>238461.53846153844</v>
      </c>
      <c r="AG52" s="79">
        <f t="shared" si="15"/>
        <v>0</v>
      </c>
      <c r="AH52" s="78"/>
      <c r="AI52" s="78"/>
      <c r="AJ52" s="78"/>
      <c r="AK52" s="79">
        <f t="shared" si="13"/>
        <v>0</v>
      </c>
      <c r="AL52" s="80">
        <f t="shared" si="14"/>
        <v>1558485.576923077</v>
      </c>
      <c r="AM52" s="81" t="s">
        <v>227</v>
      </c>
    </row>
    <row r="53" spans="1:39" s="81" customFormat="1" ht="15.75" x14ac:dyDescent="0.25">
      <c r="A53" s="38">
        <v>48</v>
      </c>
      <c r="B53" s="51" t="s">
        <v>146</v>
      </c>
      <c r="C53" s="52" t="s">
        <v>84</v>
      </c>
      <c r="D53" s="76">
        <v>26</v>
      </c>
      <c r="E53" s="77">
        <v>4450000</v>
      </c>
      <c r="F53" s="77">
        <v>500000</v>
      </c>
      <c r="G53" s="77">
        <v>250000</v>
      </c>
      <c r="H53" s="77"/>
      <c r="I53" s="77"/>
      <c r="J53" s="77"/>
      <c r="K53" s="77">
        <v>300000</v>
      </c>
      <c r="L53" s="77">
        <v>500000</v>
      </c>
      <c r="M53" s="77">
        <f t="shared" ref="M53:M56" si="16">SUM(E53:L53)</f>
        <v>6000000</v>
      </c>
      <c r="N53" s="59">
        <f>+VLOOKUP('Bảng tính lương '!C53,'Ngày công'!$C$6:$AI$57,33,0)</f>
        <v>4</v>
      </c>
      <c r="O53" s="56">
        <f>+VLOOKUP(C53,'Ngày công'!$C$6:$AN$57,38,0)</f>
        <v>29.7</v>
      </c>
      <c r="P53" s="55">
        <f>+VLOOKUP('Bảng tính lương '!C53,'Ngày công'!$C$6:$AO$57,39,0)</f>
        <v>0</v>
      </c>
      <c r="Q53" s="55">
        <f>+VLOOKUP(C53,'Ngày công'!$C$6:$AJ$57,34,0)</f>
        <v>0</v>
      </c>
      <c r="R53" s="78"/>
      <c r="S53" s="78">
        <f>'[1]CHẤM CÔNG'!DS54</f>
        <v>0</v>
      </c>
      <c r="T53" s="78"/>
      <c r="U53" s="77">
        <f t="shared" si="1"/>
        <v>684615.38461538462</v>
      </c>
      <c r="V53" s="77">
        <f t="shared" si="2"/>
        <v>635408.65384615387</v>
      </c>
      <c r="W53" s="77">
        <f t="shared" si="3"/>
        <v>0</v>
      </c>
      <c r="X53" s="77">
        <f t="shared" si="4"/>
        <v>1320024.0384615385</v>
      </c>
      <c r="Y53" s="77">
        <f t="shared" si="5"/>
        <v>76923.076923076922</v>
      </c>
      <c r="Z53" s="77">
        <f t="shared" si="6"/>
        <v>38461.538461538461</v>
      </c>
      <c r="AA53" s="77">
        <f t="shared" si="7"/>
        <v>0</v>
      </c>
      <c r="AB53" s="77">
        <f t="shared" si="8"/>
        <v>0</v>
      </c>
      <c r="AC53" s="77">
        <f t="shared" si="9"/>
        <v>0</v>
      </c>
      <c r="AD53" s="77">
        <f t="shared" si="10"/>
        <v>46153.846153846156</v>
      </c>
      <c r="AE53" s="77">
        <f t="shared" si="11"/>
        <v>76923.076923076922</v>
      </c>
      <c r="AF53" s="79">
        <f t="shared" si="12"/>
        <v>238461.53846153844</v>
      </c>
      <c r="AG53" s="79">
        <f t="shared" si="15"/>
        <v>0</v>
      </c>
      <c r="AH53" s="78"/>
      <c r="AI53" s="78"/>
      <c r="AJ53" s="78"/>
      <c r="AK53" s="79">
        <f t="shared" si="13"/>
        <v>0</v>
      </c>
      <c r="AL53" s="80">
        <f t="shared" si="14"/>
        <v>1558485.576923077</v>
      </c>
      <c r="AM53" s="81" t="s">
        <v>226</v>
      </c>
    </row>
    <row r="54" spans="1:39" s="81" customFormat="1" ht="15.75" x14ac:dyDescent="0.25">
      <c r="A54" s="38">
        <v>49</v>
      </c>
      <c r="B54" s="51" t="s">
        <v>147</v>
      </c>
      <c r="C54" s="52" t="s">
        <v>85</v>
      </c>
      <c r="D54" s="76">
        <v>26</v>
      </c>
      <c r="E54" s="77">
        <v>4450000</v>
      </c>
      <c r="F54" s="77">
        <v>500000</v>
      </c>
      <c r="G54" s="77">
        <v>250000</v>
      </c>
      <c r="H54" s="77"/>
      <c r="I54" s="77"/>
      <c r="J54" s="77"/>
      <c r="K54" s="77">
        <v>300000</v>
      </c>
      <c r="L54" s="77">
        <v>500000</v>
      </c>
      <c r="M54" s="77">
        <f t="shared" si="16"/>
        <v>6000000</v>
      </c>
      <c r="N54" s="59">
        <f>+VLOOKUP('Bảng tính lương '!C54,'Ngày công'!$C$6:$AI$57,33,0)</f>
        <v>3</v>
      </c>
      <c r="O54" s="56">
        <f>+VLOOKUP(C54,'Ngày công'!$C$6:$AN$57,38,0)</f>
        <v>13.5</v>
      </c>
      <c r="P54" s="55">
        <f>+VLOOKUP('Bảng tính lương '!C54,'Ngày công'!$C$6:$AO$57,39,0)</f>
        <v>0</v>
      </c>
      <c r="Q54" s="55">
        <f>+VLOOKUP(C54,'Ngày công'!$C$6:$AJ$57,34,0)</f>
        <v>0</v>
      </c>
      <c r="R54" s="78"/>
      <c r="S54" s="78">
        <f>'[1]CHẤM CÔNG'!DS55</f>
        <v>0</v>
      </c>
      <c r="T54" s="78"/>
      <c r="U54" s="77">
        <f t="shared" si="1"/>
        <v>513461.5384615385</v>
      </c>
      <c r="V54" s="77">
        <f t="shared" si="2"/>
        <v>288822.11538461538</v>
      </c>
      <c r="W54" s="77">
        <f t="shared" si="3"/>
        <v>0</v>
      </c>
      <c r="X54" s="77">
        <f t="shared" si="4"/>
        <v>802283.65384615387</v>
      </c>
      <c r="Y54" s="77">
        <f t="shared" si="5"/>
        <v>57692.307692307688</v>
      </c>
      <c r="Z54" s="77">
        <f t="shared" si="6"/>
        <v>28846.153846153844</v>
      </c>
      <c r="AA54" s="77">
        <f t="shared" si="7"/>
        <v>0</v>
      </c>
      <c r="AB54" s="77">
        <f t="shared" si="8"/>
        <v>0</v>
      </c>
      <c r="AC54" s="77">
        <f t="shared" si="9"/>
        <v>0</v>
      </c>
      <c r="AD54" s="77">
        <f t="shared" si="10"/>
        <v>34615.384615384617</v>
      </c>
      <c r="AE54" s="77">
        <f t="shared" si="11"/>
        <v>57692.307692307688</v>
      </c>
      <c r="AF54" s="79">
        <f t="shared" si="12"/>
        <v>178846.15384615384</v>
      </c>
      <c r="AG54" s="79">
        <f t="shared" si="15"/>
        <v>0</v>
      </c>
      <c r="AH54" s="78"/>
      <c r="AI54" s="78"/>
      <c r="AJ54" s="78"/>
      <c r="AK54" s="79">
        <f t="shared" si="13"/>
        <v>0</v>
      </c>
      <c r="AL54" s="80">
        <f t="shared" si="14"/>
        <v>981129.80769230775</v>
      </c>
      <c r="AM54" s="81" t="s">
        <v>225</v>
      </c>
    </row>
    <row r="55" spans="1:39" s="81" customFormat="1" ht="15.75" x14ac:dyDescent="0.25">
      <c r="A55" s="38">
        <v>50</v>
      </c>
      <c r="B55" s="51" t="s">
        <v>148</v>
      </c>
      <c r="C55" s="52" t="s">
        <v>86</v>
      </c>
      <c r="D55" s="76">
        <v>26</v>
      </c>
      <c r="E55" s="77">
        <v>4450000</v>
      </c>
      <c r="F55" s="77">
        <v>500000</v>
      </c>
      <c r="G55" s="77">
        <v>250000</v>
      </c>
      <c r="H55" s="77"/>
      <c r="I55" s="77"/>
      <c r="J55" s="77"/>
      <c r="K55" s="77">
        <v>300000</v>
      </c>
      <c r="L55" s="77">
        <v>500000</v>
      </c>
      <c r="M55" s="77">
        <f t="shared" si="16"/>
        <v>6000000</v>
      </c>
      <c r="N55" s="59">
        <f>+VLOOKUP('Bảng tính lương '!C55,'Ngày công'!$C$6:$AI$57,33,0)</f>
        <v>3</v>
      </c>
      <c r="O55" s="56">
        <f>+VLOOKUP(C55,'Ngày công'!$C$6:$AN$57,38,0)</f>
        <v>14.25</v>
      </c>
      <c r="P55" s="55">
        <f>+VLOOKUP('Bảng tính lương '!C55,'Ngày công'!$C$6:$AO$57,39,0)</f>
        <v>0</v>
      </c>
      <c r="Q55" s="55">
        <f>+VLOOKUP(C55,'Ngày công'!$C$6:$AJ$57,34,0)</f>
        <v>0</v>
      </c>
      <c r="R55" s="78"/>
      <c r="S55" s="78">
        <f>'[1]CHẤM CÔNG'!DS56</f>
        <v>0</v>
      </c>
      <c r="T55" s="78"/>
      <c r="U55" s="77">
        <f t="shared" si="1"/>
        <v>513461.5384615385</v>
      </c>
      <c r="V55" s="77">
        <f t="shared" si="2"/>
        <v>304867.78846153844</v>
      </c>
      <c r="W55" s="77">
        <f t="shared" si="3"/>
        <v>0</v>
      </c>
      <c r="X55" s="77">
        <f t="shared" si="4"/>
        <v>818329.32692307699</v>
      </c>
      <c r="Y55" s="77">
        <f t="shared" si="5"/>
        <v>57692.307692307688</v>
      </c>
      <c r="Z55" s="77">
        <f t="shared" si="6"/>
        <v>28846.153846153844</v>
      </c>
      <c r="AA55" s="77">
        <f t="shared" si="7"/>
        <v>0</v>
      </c>
      <c r="AB55" s="77">
        <f t="shared" si="8"/>
        <v>0</v>
      </c>
      <c r="AC55" s="77">
        <f t="shared" si="9"/>
        <v>0</v>
      </c>
      <c r="AD55" s="77">
        <f t="shared" si="10"/>
        <v>34615.384615384617</v>
      </c>
      <c r="AE55" s="77">
        <f t="shared" si="11"/>
        <v>57692.307692307688</v>
      </c>
      <c r="AF55" s="79">
        <f t="shared" si="12"/>
        <v>178846.15384615384</v>
      </c>
      <c r="AG55" s="79">
        <f t="shared" si="15"/>
        <v>0</v>
      </c>
      <c r="AH55" s="78"/>
      <c r="AI55" s="78"/>
      <c r="AJ55" s="78"/>
      <c r="AK55" s="79">
        <f t="shared" si="13"/>
        <v>0</v>
      </c>
      <c r="AL55" s="80">
        <f t="shared" si="14"/>
        <v>997175.48076923087</v>
      </c>
    </row>
    <row r="56" spans="1:39" s="81" customFormat="1" ht="15.75" x14ac:dyDescent="0.25">
      <c r="A56" s="38">
        <v>51</v>
      </c>
      <c r="B56" s="51" t="s">
        <v>149</v>
      </c>
      <c r="C56" s="52" t="s">
        <v>87</v>
      </c>
      <c r="D56" s="76">
        <v>26</v>
      </c>
      <c r="E56" s="77">
        <v>4450000</v>
      </c>
      <c r="F56" s="77">
        <v>500000</v>
      </c>
      <c r="G56" s="77">
        <v>250000</v>
      </c>
      <c r="H56" s="77"/>
      <c r="I56" s="77"/>
      <c r="J56" s="77"/>
      <c r="K56" s="77">
        <v>300000</v>
      </c>
      <c r="L56" s="77">
        <v>500000</v>
      </c>
      <c r="M56" s="77">
        <f t="shared" si="16"/>
        <v>6000000</v>
      </c>
      <c r="N56" s="59">
        <f>+VLOOKUP('Bảng tính lương '!C56,'Ngày công'!$C$6:$AI$57,33,0)</f>
        <v>3</v>
      </c>
      <c r="O56" s="56">
        <f>+VLOOKUP(C56,'Ngày công'!$C$6:$AN$57,38,0)</f>
        <v>13.5</v>
      </c>
      <c r="P56" s="55">
        <f>+VLOOKUP('Bảng tính lương '!C56,'Ngày công'!$C$6:$AO$57,39,0)</f>
        <v>0</v>
      </c>
      <c r="Q56" s="55">
        <f>+VLOOKUP(C56,'Ngày công'!$C$6:$AJ$57,34,0)</f>
        <v>0</v>
      </c>
      <c r="R56" s="78"/>
      <c r="S56" s="78">
        <f>'[1]CHẤM CÔNG'!DS57</f>
        <v>0</v>
      </c>
      <c r="T56" s="78"/>
      <c r="U56" s="77">
        <f t="shared" si="1"/>
        <v>513461.5384615385</v>
      </c>
      <c r="V56" s="77">
        <f t="shared" si="2"/>
        <v>288822.11538461538</v>
      </c>
      <c r="W56" s="77">
        <f t="shared" si="3"/>
        <v>0</v>
      </c>
      <c r="X56" s="77">
        <f t="shared" si="4"/>
        <v>802283.65384615387</v>
      </c>
      <c r="Y56" s="77">
        <f t="shared" si="5"/>
        <v>57692.307692307688</v>
      </c>
      <c r="Z56" s="77">
        <f t="shared" si="6"/>
        <v>28846.153846153844</v>
      </c>
      <c r="AA56" s="77">
        <f t="shared" si="7"/>
        <v>0</v>
      </c>
      <c r="AB56" s="77">
        <f t="shared" si="8"/>
        <v>0</v>
      </c>
      <c r="AC56" s="77">
        <f t="shared" si="9"/>
        <v>0</v>
      </c>
      <c r="AD56" s="77">
        <f t="shared" si="10"/>
        <v>34615.384615384617</v>
      </c>
      <c r="AE56" s="77">
        <f t="shared" si="11"/>
        <v>57692.307692307688</v>
      </c>
      <c r="AF56" s="79">
        <f t="shared" si="12"/>
        <v>178846.15384615384</v>
      </c>
      <c r="AG56" s="79">
        <f t="shared" si="15"/>
        <v>0</v>
      </c>
      <c r="AH56" s="78"/>
      <c r="AI56" s="78"/>
      <c r="AJ56" s="78"/>
      <c r="AK56" s="79">
        <f t="shared" si="13"/>
        <v>0</v>
      </c>
      <c r="AL56" s="80">
        <f t="shared" si="14"/>
        <v>981129.80769230775</v>
      </c>
      <c r="AM56" s="81" t="s">
        <v>224</v>
      </c>
    </row>
    <row r="57" spans="1:39" s="75" customFormat="1" ht="16.5" customHeight="1" x14ac:dyDescent="0.25">
      <c r="A57" s="38">
        <v>52</v>
      </c>
      <c r="B57" s="38" t="s">
        <v>176</v>
      </c>
      <c r="C57" s="38" t="s">
        <v>88</v>
      </c>
      <c r="D57" s="68">
        <v>26</v>
      </c>
      <c r="E57" s="69">
        <v>4450000</v>
      </c>
      <c r="F57" s="69">
        <v>500000</v>
      </c>
      <c r="G57" s="69">
        <v>250000</v>
      </c>
      <c r="H57" s="69"/>
      <c r="I57" s="69"/>
      <c r="J57" s="69"/>
      <c r="K57" s="69">
        <v>300000</v>
      </c>
      <c r="L57" s="69">
        <v>500000</v>
      </c>
      <c r="M57" s="69">
        <f>SUM(E57:L57)</f>
        <v>6000000</v>
      </c>
      <c r="N57" s="59">
        <f>+VLOOKUP('Bảng tính lương '!C57,'Ngày công'!$C$6:$AI$57,33,0)</f>
        <v>8</v>
      </c>
      <c r="O57" s="56">
        <f>+VLOOKUP(C57,'Ngày công'!$C$6:$AN$57,38,0)</f>
        <v>10.5</v>
      </c>
      <c r="P57" s="55">
        <f>+VLOOKUP('Bảng tính lương '!C57,'Ngày công'!$C$6:$AO$57,39,0)</f>
        <v>0</v>
      </c>
      <c r="Q57" s="55">
        <f>+VLOOKUP(C57,'Ngày công'!$C$6:$AJ$57,34,0)</f>
        <v>0</v>
      </c>
      <c r="R57" s="72"/>
      <c r="S57" s="72">
        <f>'[1]CHẤM CÔNG'!DS58</f>
        <v>0</v>
      </c>
      <c r="T57" s="72"/>
      <c r="U57" s="69">
        <f t="shared" si="1"/>
        <v>1369230.7692307692</v>
      </c>
      <c r="V57" s="69">
        <f t="shared" si="2"/>
        <v>224639.42307692309</v>
      </c>
      <c r="W57" s="69">
        <f t="shared" si="3"/>
        <v>0</v>
      </c>
      <c r="X57" s="69">
        <f>U57+V57+W57</f>
        <v>1593870.1923076923</v>
      </c>
      <c r="Y57" s="69">
        <f t="shared" si="5"/>
        <v>153846.15384615384</v>
      </c>
      <c r="Z57" s="69">
        <f t="shared" si="6"/>
        <v>76923.076923076922</v>
      </c>
      <c r="AA57" s="69">
        <f t="shared" si="7"/>
        <v>0</v>
      </c>
      <c r="AB57" s="69">
        <f t="shared" si="8"/>
        <v>0</v>
      </c>
      <c r="AC57" s="69">
        <f t="shared" si="9"/>
        <v>0</v>
      </c>
      <c r="AD57" s="69">
        <f t="shared" si="10"/>
        <v>92307.692307692312</v>
      </c>
      <c r="AE57" s="69">
        <f t="shared" si="11"/>
        <v>153846.15384615384</v>
      </c>
      <c r="AF57" s="73">
        <f t="shared" si="12"/>
        <v>476923.07692307688</v>
      </c>
      <c r="AG57" s="73">
        <f t="shared" si="15"/>
        <v>0</v>
      </c>
      <c r="AH57" s="72"/>
      <c r="AI57" s="72"/>
      <c r="AJ57" s="72"/>
      <c r="AK57" s="73">
        <f t="shared" si="13"/>
        <v>0</v>
      </c>
      <c r="AL57" s="74">
        <f t="shared" si="14"/>
        <v>2070793.269230769</v>
      </c>
      <c r="AM57" s="75" t="s">
        <v>213</v>
      </c>
    </row>
    <row r="58" spans="1:39" s="75" customFormat="1" ht="15.75" x14ac:dyDescent="0.25">
      <c r="A58" s="38">
        <v>53</v>
      </c>
      <c r="B58" s="38" t="s">
        <v>203</v>
      </c>
      <c r="C58" s="38" t="s">
        <v>202</v>
      </c>
      <c r="D58" s="68">
        <v>26</v>
      </c>
      <c r="E58" s="69">
        <v>4450000</v>
      </c>
      <c r="F58" s="69">
        <v>500000</v>
      </c>
      <c r="G58" s="69">
        <v>300000</v>
      </c>
      <c r="H58" s="69">
        <v>450000</v>
      </c>
      <c r="I58" s="69"/>
      <c r="J58" s="69"/>
      <c r="K58" s="69">
        <v>300000</v>
      </c>
      <c r="L58" s="69">
        <v>2000000</v>
      </c>
      <c r="M58" s="69">
        <f t="shared" ref="M58:M59" si="17">SUM(E58:L58)</f>
        <v>8000000</v>
      </c>
      <c r="N58" s="59">
        <v>14</v>
      </c>
      <c r="O58" s="56"/>
      <c r="P58" s="55">
        <v>5</v>
      </c>
      <c r="Q58" s="55"/>
      <c r="R58" s="72"/>
      <c r="S58" s="72"/>
      <c r="T58" s="72"/>
      <c r="U58" s="69">
        <f t="shared" ref="U58" si="18">E58/D58*N58</f>
        <v>2396153.846153846</v>
      </c>
      <c r="V58" s="69">
        <f t="shared" ref="V58" si="19">E58/D58/8*O58</f>
        <v>0</v>
      </c>
      <c r="W58" s="70">
        <f>E58/D58*P58*3</f>
        <v>2567307.692307692</v>
      </c>
      <c r="X58" s="69">
        <f>U58+V58+W58</f>
        <v>4963461.538461538</v>
      </c>
      <c r="Y58" s="69">
        <f t="shared" ref="Y58" si="20">F58/D58*N58</f>
        <v>269230.76923076925</v>
      </c>
      <c r="Z58" s="69">
        <f t="shared" ref="Z58" si="21">G58/D58*N58</f>
        <v>161538.46153846156</v>
      </c>
      <c r="AA58" s="69">
        <f t="shared" ref="AA58" si="22">H58/D58*N58</f>
        <v>242307.69230769231</v>
      </c>
      <c r="AB58" s="69">
        <f t="shared" ref="AB58" si="23">I58/26*N58</f>
        <v>0</v>
      </c>
      <c r="AC58" s="69">
        <f t="shared" ref="AC58" si="24">J58</f>
        <v>0</v>
      </c>
      <c r="AD58" s="69">
        <f t="shared" ref="AD58" si="25">K58/D58*N58</f>
        <v>161538.46153846156</v>
      </c>
      <c r="AE58" s="69">
        <f t="shared" ref="AE58" si="26">L58/D58*N58</f>
        <v>1076923.076923077</v>
      </c>
      <c r="AF58" s="73">
        <f t="shared" ref="AF58" si="27">SUM(Y58:AE58)</f>
        <v>1911538.4615384617</v>
      </c>
      <c r="AG58" s="73"/>
      <c r="AH58" s="72"/>
      <c r="AI58" s="72"/>
      <c r="AJ58" s="72"/>
      <c r="AK58" s="73"/>
      <c r="AL58" s="74">
        <f t="shared" si="14"/>
        <v>6875000</v>
      </c>
      <c r="AM58" s="75" t="s">
        <v>232</v>
      </c>
    </row>
    <row r="59" spans="1:39" s="75" customFormat="1" ht="15.75" x14ac:dyDescent="0.25">
      <c r="A59" s="38">
        <v>54</v>
      </c>
      <c r="B59" s="38" t="s">
        <v>201</v>
      </c>
      <c r="C59" s="38" t="s">
        <v>24</v>
      </c>
      <c r="D59" s="68">
        <v>26</v>
      </c>
      <c r="E59" s="69">
        <v>6200000</v>
      </c>
      <c r="F59" s="69"/>
      <c r="G59" s="69">
        <v>1000000</v>
      </c>
      <c r="H59" s="69"/>
      <c r="I59" s="69"/>
      <c r="J59" s="69">
        <v>1500000</v>
      </c>
      <c r="K59" s="69">
        <v>500000</v>
      </c>
      <c r="L59" s="69">
        <v>3800000</v>
      </c>
      <c r="M59" s="69">
        <f t="shared" si="17"/>
        <v>13000000</v>
      </c>
      <c r="N59" s="59">
        <v>26</v>
      </c>
      <c r="O59" s="56">
        <v>30</v>
      </c>
      <c r="P59" s="55"/>
      <c r="Q59" s="55"/>
      <c r="R59" s="72"/>
      <c r="S59" s="72"/>
      <c r="T59" s="72"/>
      <c r="U59" s="69">
        <f>E59/D59*N59</f>
        <v>6200000</v>
      </c>
      <c r="V59" s="69">
        <f t="shared" ref="V59" si="28">E59/D59/8*O59</f>
        <v>894230.76923076925</v>
      </c>
      <c r="W59" s="69">
        <f t="shared" ref="W59" si="29">E59/D59*P59*3</f>
        <v>0</v>
      </c>
      <c r="X59" s="69">
        <f t="shared" ref="X59" si="30">U59+V59+W59</f>
        <v>7094230.769230769</v>
      </c>
      <c r="Y59" s="69">
        <f t="shared" ref="Y59" si="31">F59/D59*N59</f>
        <v>0</v>
      </c>
      <c r="Z59" s="69">
        <f t="shared" ref="Z59" si="32">G59/D59*N59</f>
        <v>1000000</v>
      </c>
      <c r="AA59" s="69">
        <f t="shared" ref="AA59" si="33">H59/D59*N59</f>
        <v>0</v>
      </c>
      <c r="AB59" s="69">
        <f t="shared" ref="AB59" si="34">I59/26*N59</f>
        <v>0</v>
      </c>
      <c r="AC59" s="69">
        <f t="shared" ref="AC59" si="35">J59</f>
        <v>1500000</v>
      </c>
      <c r="AD59" s="69">
        <f t="shared" ref="AD59" si="36">K59/D59*N59</f>
        <v>500000</v>
      </c>
      <c r="AE59" s="69">
        <f t="shared" ref="AE59" si="37">L59/D59*N59</f>
        <v>3800000</v>
      </c>
      <c r="AF59" s="73">
        <f t="shared" ref="AF59" si="38">SUM(Y59:AE59)</f>
        <v>6800000</v>
      </c>
      <c r="AG59" s="73">
        <f t="shared" ref="AG59" si="39">E59/D59/8*S59</f>
        <v>0</v>
      </c>
      <c r="AH59" s="72"/>
      <c r="AI59" s="72"/>
      <c r="AJ59" s="72"/>
      <c r="AK59" s="73">
        <f t="shared" ref="AK59" si="40">SUM(AG59:AJ59)</f>
        <v>0</v>
      </c>
      <c r="AL59" s="74">
        <f>X59+AF59-AK59</f>
        <v>13894230.769230768</v>
      </c>
    </row>
    <row r="60" spans="1:39" s="95" customFormat="1" ht="16.5" customHeight="1" x14ac:dyDescent="0.25">
      <c r="A60" s="38">
        <v>55</v>
      </c>
      <c r="B60" s="38" t="s">
        <v>189</v>
      </c>
      <c r="C60" s="28" t="s">
        <v>186</v>
      </c>
      <c r="D60" s="68">
        <v>26</v>
      </c>
      <c r="E60" s="93">
        <v>6200000</v>
      </c>
      <c r="F60" s="93">
        <v>500000</v>
      </c>
      <c r="G60" s="93">
        <v>500000</v>
      </c>
      <c r="H60" s="94"/>
      <c r="I60" s="94"/>
      <c r="J60" s="93">
        <v>1000000</v>
      </c>
      <c r="K60" s="93">
        <v>500000</v>
      </c>
      <c r="L60" s="93">
        <v>2350000</v>
      </c>
      <c r="M60" s="69">
        <f>SUM(E60:L60)</f>
        <v>11050000</v>
      </c>
      <c r="N60" s="70">
        <v>16</v>
      </c>
      <c r="O60" s="71"/>
      <c r="P60" s="72"/>
      <c r="Q60" s="72"/>
      <c r="R60" s="72"/>
      <c r="S60" s="72"/>
      <c r="T60" s="72"/>
      <c r="U60" s="69">
        <f>E60/D60*N60</f>
        <v>3815384.6153846155</v>
      </c>
      <c r="V60" s="69">
        <f t="shared" ref="V60:V62" si="41">E60/D60/8*O60</f>
        <v>0</v>
      </c>
      <c r="W60" s="69">
        <f t="shared" ref="W60:W62" si="42">E60/D60*P60*3</f>
        <v>0</v>
      </c>
      <c r="X60" s="69">
        <f t="shared" ref="X60:X62" si="43">U60+V60+W60</f>
        <v>3815384.6153846155</v>
      </c>
      <c r="Y60" s="69">
        <f t="shared" ref="Y60:Y62" si="44">F60/D60*N60</f>
        <v>307692.30769230769</v>
      </c>
      <c r="Z60" s="69">
        <f t="shared" ref="Z60:Z62" si="45">G60/D60*N60</f>
        <v>307692.30769230769</v>
      </c>
      <c r="AA60" s="69">
        <f t="shared" ref="AA60:AA62" si="46">H60/D60*N60</f>
        <v>0</v>
      </c>
      <c r="AB60" s="69">
        <f t="shared" ref="AB60:AB62" si="47">I60/26*N60</f>
        <v>0</v>
      </c>
      <c r="AC60" s="69">
        <f t="shared" ref="AC60:AC61" si="48">J60/D60*N60</f>
        <v>615384.61538461538</v>
      </c>
      <c r="AD60" s="69">
        <f t="shared" ref="AD60:AD62" si="49">K60/D60*N60</f>
        <v>307692.30769230769</v>
      </c>
      <c r="AE60" s="69">
        <f t="shared" ref="AE60:AE62" si="50">L60/D60*N60</f>
        <v>1446153.8461538462</v>
      </c>
      <c r="AF60" s="73">
        <f t="shared" ref="AF60:AF62" si="51">SUM(Y60:AE60)</f>
        <v>2984615.384615385</v>
      </c>
      <c r="AG60" s="73">
        <f t="shared" ref="AG60:AG62" si="52">E60/D60/8*S60</f>
        <v>0</v>
      </c>
      <c r="AH60" s="72"/>
      <c r="AI60" s="72"/>
      <c r="AJ60" s="72"/>
      <c r="AK60" s="73">
        <f t="shared" ref="AK60:AK62" si="53">SUM(AG60:AJ60)</f>
        <v>0</v>
      </c>
      <c r="AL60" s="74">
        <f t="shared" ref="AL60:AL62" si="54">X60+AF60-AK60</f>
        <v>6800000</v>
      </c>
    </row>
    <row r="61" spans="1:39" s="95" customFormat="1" ht="15.75" x14ac:dyDescent="0.25">
      <c r="A61" s="38">
        <v>56</v>
      </c>
      <c r="B61" s="38" t="s">
        <v>190</v>
      </c>
      <c r="C61" s="28" t="s">
        <v>187</v>
      </c>
      <c r="D61" s="68">
        <v>26</v>
      </c>
      <c r="E61" s="93">
        <v>4800000</v>
      </c>
      <c r="F61" s="93">
        <v>500000</v>
      </c>
      <c r="G61" s="93">
        <v>500000</v>
      </c>
      <c r="H61" s="94"/>
      <c r="I61" s="94"/>
      <c r="J61" s="93">
        <v>500000</v>
      </c>
      <c r="K61" s="93">
        <v>500000</v>
      </c>
      <c r="L61" s="93">
        <v>3400000</v>
      </c>
      <c r="M61" s="69">
        <v>10200000</v>
      </c>
      <c r="N61" s="70">
        <f>20+1</f>
        <v>21</v>
      </c>
      <c r="O61" s="71">
        <v>30</v>
      </c>
      <c r="P61" s="72"/>
      <c r="Q61" s="72"/>
      <c r="R61" s="72"/>
      <c r="S61" s="72"/>
      <c r="T61" s="72"/>
      <c r="U61" s="69">
        <f t="shared" ref="U61:U62" si="55">E61/D61*N61</f>
        <v>3876923.076923077</v>
      </c>
      <c r="V61" s="69">
        <f t="shared" si="41"/>
        <v>692307.69230769237</v>
      </c>
      <c r="W61" s="69">
        <f t="shared" si="42"/>
        <v>0</v>
      </c>
      <c r="X61" s="69">
        <f t="shared" si="43"/>
        <v>4569230.769230769</v>
      </c>
      <c r="Y61" s="69">
        <f t="shared" si="44"/>
        <v>403846.15384615381</v>
      </c>
      <c r="Z61" s="69">
        <f t="shared" si="45"/>
        <v>403846.15384615381</v>
      </c>
      <c r="AA61" s="69">
        <f t="shared" si="46"/>
        <v>0</v>
      </c>
      <c r="AB61" s="69">
        <f t="shared" si="47"/>
        <v>0</v>
      </c>
      <c r="AC61" s="69">
        <f t="shared" si="48"/>
        <v>403846.15384615381</v>
      </c>
      <c r="AD61" s="69">
        <f t="shared" si="49"/>
        <v>403846.15384615381</v>
      </c>
      <c r="AE61" s="69">
        <f t="shared" si="50"/>
        <v>2746153.846153846</v>
      </c>
      <c r="AF61" s="73">
        <f t="shared" si="51"/>
        <v>4361538.461538461</v>
      </c>
      <c r="AG61" s="73">
        <f t="shared" si="52"/>
        <v>0</v>
      </c>
      <c r="AH61" s="69">
        <v>3000000</v>
      </c>
      <c r="AI61" s="69">
        <v>500000</v>
      </c>
      <c r="AJ61" s="72"/>
      <c r="AK61" s="73">
        <f t="shared" si="53"/>
        <v>3500000</v>
      </c>
      <c r="AL61" s="74">
        <f t="shared" si="54"/>
        <v>5430769.2307692301</v>
      </c>
    </row>
    <row r="62" spans="1:39" s="95" customFormat="1" ht="15.75" x14ac:dyDescent="0.25">
      <c r="A62" s="38">
        <v>57</v>
      </c>
      <c r="B62" s="38" t="s">
        <v>191</v>
      </c>
      <c r="C62" s="28" t="s">
        <v>188</v>
      </c>
      <c r="D62" s="68">
        <v>26</v>
      </c>
      <c r="E62" s="93">
        <v>6800000</v>
      </c>
      <c r="F62" s="94"/>
      <c r="G62" s="94"/>
      <c r="H62" s="94"/>
      <c r="I62" s="94"/>
      <c r="J62" s="94"/>
      <c r="K62" s="94"/>
      <c r="L62" s="94"/>
      <c r="M62" s="69">
        <f t="shared" ref="M62" si="56">SUM(E62:L62)</f>
        <v>6800000</v>
      </c>
      <c r="N62" s="70">
        <v>7</v>
      </c>
      <c r="O62" s="71"/>
      <c r="P62" s="72"/>
      <c r="Q62" s="72"/>
      <c r="R62" s="72"/>
      <c r="S62" s="72"/>
      <c r="T62" s="72"/>
      <c r="U62" s="69">
        <f t="shared" si="55"/>
        <v>1830769.2307692308</v>
      </c>
      <c r="V62" s="69">
        <f t="shared" si="41"/>
        <v>0</v>
      </c>
      <c r="W62" s="69">
        <f t="shared" si="42"/>
        <v>0</v>
      </c>
      <c r="X62" s="69">
        <f t="shared" si="43"/>
        <v>1830769.2307692308</v>
      </c>
      <c r="Y62" s="69">
        <f t="shared" si="44"/>
        <v>0</v>
      </c>
      <c r="Z62" s="69">
        <f t="shared" si="45"/>
        <v>0</v>
      </c>
      <c r="AA62" s="69">
        <f t="shared" si="46"/>
        <v>0</v>
      </c>
      <c r="AB62" s="69">
        <f t="shared" si="47"/>
        <v>0</v>
      </c>
      <c r="AC62" s="69">
        <f t="shared" ref="AC62" si="57">J62</f>
        <v>0</v>
      </c>
      <c r="AD62" s="69">
        <f t="shared" si="49"/>
        <v>0</v>
      </c>
      <c r="AE62" s="69">
        <f t="shared" si="50"/>
        <v>0</v>
      </c>
      <c r="AF62" s="73">
        <f t="shared" si="51"/>
        <v>0</v>
      </c>
      <c r="AG62" s="73">
        <f t="shared" si="52"/>
        <v>0</v>
      </c>
      <c r="AH62" s="72"/>
      <c r="AI62" s="72"/>
      <c r="AJ62" s="72"/>
      <c r="AK62" s="73">
        <f t="shared" si="53"/>
        <v>0</v>
      </c>
      <c r="AL62" s="74">
        <f t="shared" si="54"/>
        <v>1830769.2307692308</v>
      </c>
    </row>
    <row r="63" spans="1:39" x14ac:dyDescent="0.25">
      <c r="AL63" s="112">
        <f>+SUBTOTAL(9,AL6:AL62)</f>
        <v>231446709.13461536</v>
      </c>
    </row>
    <row r="65" spans="38:38" x14ac:dyDescent="0.25">
      <c r="AL65" s="119"/>
    </row>
  </sheetData>
  <autoFilter ref="A4:AM63" xr:uid="{00000000-0009-0000-0000-000002000000}">
    <filterColumn colId="5" showButton="0"/>
    <filterColumn colId="6" showButton="0"/>
    <filterColumn colId="7" showButton="0"/>
    <filterColumn colId="8" showButton="0"/>
    <filterColumn colId="9" showButton="0"/>
    <filterColumn colId="13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2" showButton="0"/>
    <filterColumn colId="33" showButton="0"/>
    <filterColumn colId="34" showButton="0"/>
  </autoFilter>
  <mergeCells count="19">
    <mergeCell ref="AE4:AE5"/>
    <mergeCell ref="AM4:AM5"/>
    <mergeCell ref="AF4:AF5"/>
    <mergeCell ref="AG4:AJ4"/>
    <mergeCell ref="AK4:AK5"/>
    <mergeCell ref="AL4:AL5"/>
    <mergeCell ref="Y4:AD4"/>
    <mergeCell ref="U4:W4"/>
    <mergeCell ref="X4:X5"/>
    <mergeCell ref="A4:A5"/>
    <mergeCell ref="B4:B5"/>
    <mergeCell ref="C4:C5"/>
    <mergeCell ref="D4:D5"/>
    <mergeCell ref="E4:E5"/>
    <mergeCell ref="F4:K4"/>
    <mergeCell ref="L4:L5"/>
    <mergeCell ref="M4:M5"/>
    <mergeCell ref="N4:P4"/>
    <mergeCell ref="Q4:T4"/>
  </mergeCells>
  <conditionalFormatting sqref="B9">
    <cfRule type="duplicateValues" dxfId="16" priority="4"/>
  </conditionalFormatting>
  <conditionalFormatting sqref="B11">
    <cfRule type="duplicateValues" dxfId="15" priority="5"/>
  </conditionalFormatting>
  <conditionalFormatting sqref="B12">
    <cfRule type="duplicateValues" dxfId="14" priority="3"/>
  </conditionalFormatting>
  <conditionalFormatting sqref="B6:C59 B60:B62">
    <cfRule type="duplicateValues" dxfId="13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6"/>
  <sheetViews>
    <sheetView topLeftCell="G1" workbookViewId="0">
      <selection activeCell="N26" sqref="N26"/>
    </sheetView>
  </sheetViews>
  <sheetFormatPr defaultRowHeight="15" x14ac:dyDescent="0.25"/>
  <cols>
    <col min="1" max="1" width="5.140625" customWidth="1"/>
    <col min="2" max="2" width="8.28515625" customWidth="1"/>
    <col min="3" max="3" width="28.85546875" customWidth="1"/>
    <col min="4" max="4" width="16.42578125" customWidth="1"/>
    <col min="5" max="6" width="18.5703125" customWidth="1"/>
    <col min="7" max="7" width="11.28515625" customWidth="1"/>
    <col min="8" max="9" width="18.5703125" customWidth="1"/>
    <col min="10" max="11" width="10.7109375" customWidth="1"/>
    <col min="12" max="13" width="18.5703125" customWidth="1"/>
    <col min="14" max="14" width="17.28515625" customWidth="1"/>
    <col min="15" max="15" width="14.5703125" customWidth="1"/>
    <col min="16" max="16" width="18.5703125" customWidth="1"/>
  </cols>
  <sheetData>
    <row r="1" spans="2:15" ht="15.75" x14ac:dyDescent="0.25">
      <c r="C1" s="120" t="s">
        <v>242</v>
      </c>
      <c r="D1" s="34"/>
      <c r="E1" s="34"/>
      <c r="F1" s="34"/>
      <c r="G1" s="34"/>
      <c r="H1" s="121"/>
      <c r="I1" s="121"/>
      <c r="J1" s="121"/>
      <c r="K1" s="121"/>
      <c r="L1" s="34"/>
      <c r="M1" s="121"/>
      <c r="N1" s="34"/>
      <c r="O1" s="34"/>
    </row>
    <row r="2" spans="2:15" ht="15.75" x14ac:dyDescent="0.25">
      <c r="B2" s="34"/>
      <c r="C2" s="122" t="s">
        <v>243</v>
      </c>
      <c r="D2" s="34"/>
      <c r="E2" s="34"/>
      <c r="F2" s="34"/>
      <c r="G2" s="34"/>
      <c r="H2" s="121"/>
      <c r="I2" s="121"/>
      <c r="J2" s="121"/>
      <c r="K2" s="121"/>
      <c r="L2" s="34"/>
      <c r="M2" s="121"/>
      <c r="N2" s="34"/>
      <c r="O2" s="34"/>
    </row>
    <row r="3" spans="2:15" ht="15.75" x14ac:dyDescent="0.25">
      <c r="B3" s="34"/>
      <c r="C3" s="123"/>
      <c r="D3" s="34"/>
      <c r="E3" s="34"/>
      <c r="F3" s="34"/>
      <c r="G3" s="34"/>
      <c r="H3" s="121"/>
      <c r="I3" s="121"/>
      <c r="J3" s="121"/>
      <c r="K3" s="121"/>
      <c r="L3" s="34"/>
      <c r="M3" s="121"/>
      <c r="N3" s="34"/>
      <c r="O3" s="34"/>
    </row>
    <row r="4" spans="2:15" ht="15.75" x14ac:dyDescent="0.25">
      <c r="B4" s="221" t="s">
        <v>267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</row>
    <row r="5" spans="2:15" ht="15.75" x14ac:dyDescent="0.25">
      <c r="B5" s="222" t="s">
        <v>244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</row>
    <row r="6" spans="2:15" ht="15.75" x14ac:dyDescent="0.25">
      <c r="B6" s="199" t="s">
        <v>3</v>
      </c>
      <c r="C6" s="197" t="s">
        <v>245</v>
      </c>
      <c r="D6" s="197" t="s">
        <v>246</v>
      </c>
      <c r="E6" s="223" t="s">
        <v>247</v>
      </c>
      <c r="F6" s="223" t="s">
        <v>248</v>
      </c>
      <c r="G6" s="197" t="s">
        <v>249</v>
      </c>
      <c r="H6" s="197" t="s">
        <v>248</v>
      </c>
      <c r="I6" s="197" t="s">
        <v>250</v>
      </c>
      <c r="J6" s="225" t="s">
        <v>251</v>
      </c>
      <c r="K6" s="225"/>
      <c r="L6" s="197" t="s">
        <v>252</v>
      </c>
      <c r="M6" s="223" t="s">
        <v>253</v>
      </c>
      <c r="N6" s="197" t="s">
        <v>160</v>
      </c>
      <c r="O6" s="197" t="s">
        <v>254</v>
      </c>
    </row>
    <row r="7" spans="2:15" ht="15.75" x14ac:dyDescent="0.25">
      <c r="B7" s="200"/>
      <c r="C7" s="198"/>
      <c r="D7" s="198"/>
      <c r="E7" s="224"/>
      <c r="F7" s="224"/>
      <c r="G7" s="198"/>
      <c r="H7" s="198"/>
      <c r="I7" s="198"/>
      <c r="J7" s="118" t="s">
        <v>255</v>
      </c>
      <c r="K7" s="118" t="s">
        <v>256</v>
      </c>
      <c r="L7" s="198"/>
      <c r="M7" s="224"/>
      <c r="N7" s="198"/>
      <c r="O7" s="198"/>
    </row>
    <row r="8" spans="2:15" ht="15.75" x14ac:dyDescent="0.25">
      <c r="B8" s="124">
        <v>1</v>
      </c>
      <c r="C8" s="36" t="s">
        <v>257</v>
      </c>
      <c r="D8" s="36" t="s">
        <v>258</v>
      </c>
      <c r="E8" s="125">
        <v>5000000</v>
      </c>
      <c r="F8" s="125">
        <f>+E8/26</f>
        <v>192307.69230769231</v>
      </c>
      <c r="G8" s="58">
        <v>25</v>
      </c>
      <c r="H8" s="125">
        <f>+E8</f>
        <v>5000000</v>
      </c>
      <c r="I8" s="125">
        <v>0</v>
      </c>
      <c r="J8" s="125">
        <v>0</v>
      </c>
      <c r="K8" s="125">
        <v>0</v>
      </c>
      <c r="L8" s="126">
        <f>H8+I8-K8-J8</f>
        <v>5000000</v>
      </c>
      <c r="M8" s="127">
        <v>0</v>
      </c>
      <c r="N8" s="128">
        <f>L8-M8</f>
        <v>5000000</v>
      </c>
      <c r="O8" s="129" t="s">
        <v>259</v>
      </c>
    </row>
    <row r="9" spans="2:15" ht="15.75" x14ac:dyDescent="0.25">
      <c r="B9" s="124">
        <v>2</v>
      </c>
      <c r="C9" s="36" t="s">
        <v>183</v>
      </c>
      <c r="D9" s="36" t="s">
        <v>36</v>
      </c>
      <c r="E9" s="125">
        <v>20000000</v>
      </c>
      <c r="F9" s="125">
        <f t="shared" ref="F9:F12" si="0">+E9/26</f>
        <v>769230.76923076925</v>
      </c>
      <c r="G9" s="58">
        <v>25</v>
      </c>
      <c r="H9" s="125">
        <f t="shared" ref="H9:H12" si="1">+E9</f>
        <v>20000000</v>
      </c>
      <c r="I9" s="125">
        <v>0</v>
      </c>
      <c r="J9" s="125">
        <v>0</v>
      </c>
      <c r="K9" s="125">
        <v>0</v>
      </c>
      <c r="L9" s="126">
        <f>H9+I9-K9-J9</f>
        <v>20000000</v>
      </c>
      <c r="M9" s="127">
        <v>0</v>
      </c>
      <c r="N9" s="128">
        <f t="shared" ref="N9:N12" si="2">L9-M9</f>
        <v>20000000</v>
      </c>
      <c r="O9" s="129" t="s">
        <v>259</v>
      </c>
    </row>
    <row r="10" spans="2:15" ht="15.75" x14ac:dyDescent="0.25">
      <c r="B10" s="124">
        <v>3</v>
      </c>
      <c r="C10" s="36" t="s">
        <v>260</v>
      </c>
      <c r="D10" s="36" t="s">
        <v>261</v>
      </c>
      <c r="E10" s="125">
        <v>20000000</v>
      </c>
      <c r="F10" s="125">
        <f t="shared" si="0"/>
        <v>769230.76923076925</v>
      </c>
      <c r="G10" s="58">
        <v>25</v>
      </c>
      <c r="H10" s="125">
        <f t="shared" si="1"/>
        <v>20000000</v>
      </c>
      <c r="I10" s="125">
        <v>0</v>
      </c>
      <c r="J10" s="125">
        <v>0</v>
      </c>
      <c r="K10" s="125">
        <v>0</v>
      </c>
      <c r="L10" s="126">
        <f>H10+I10-K10-J10</f>
        <v>20000000</v>
      </c>
      <c r="M10" s="127">
        <v>0</v>
      </c>
      <c r="N10" s="128">
        <f t="shared" si="2"/>
        <v>20000000</v>
      </c>
      <c r="O10" s="129" t="s">
        <v>259</v>
      </c>
    </row>
    <row r="11" spans="2:15" ht="15.75" x14ac:dyDescent="0.25">
      <c r="B11" s="124">
        <v>4</v>
      </c>
      <c r="C11" s="36" t="s">
        <v>262</v>
      </c>
      <c r="D11" s="36" t="s">
        <v>263</v>
      </c>
      <c r="E11" s="125">
        <v>15000000</v>
      </c>
      <c r="F11" s="125">
        <f t="shared" si="0"/>
        <v>576923.07692307688</v>
      </c>
      <c r="G11" s="58">
        <v>25</v>
      </c>
      <c r="H11" s="125">
        <f t="shared" si="1"/>
        <v>15000000</v>
      </c>
      <c r="I11" s="125">
        <v>0</v>
      </c>
      <c r="J11" s="125">
        <v>0</v>
      </c>
      <c r="K11" s="125">
        <v>0</v>
      </c>
      <c r="L11" s="126">
        <f>H11+I11-K11-J11</f>
        <v>15000000</v>
      </c>
      <c r="M11" s="127">
        <v>0</v>
      </c>
      <c r="N11" s="128">
        <f t="shared" si="2"/>
        <v>15000000</v>
      </c>
      <c r="O11" s="129" t="s">
        <v>259</v>
      </c>
    </row>
    <row r="12" spans="2:15" ht="15.75" x14ac:dyDescent="0.25">
      <c r="B12" s="124">
        <v>5</v>
      </c>
      <c r="C12" s="36" t="s">
        <v>264</v>
      </c>
      <c r="D12" s="36" t="s">
        <v>265</v>
      </c>
      <c r="E12" s="125">
        <v>15000000</v>
      </c>
      <c r="F12" s="125">
        <f t="shared" si="0"/>
        <v>576923.07692307688</v>
      </c>
      <c r="G12" s="58">
        <v>25</v>
      </c>
      <c r="H12" s="125">
        <f t="shared" si="1"/>
        <v>15000000</v>
      </c>
      <c r="I12" s="125">
        <v>0</v>
      </c>
      <c r="J12" s="125">
        <v>0</v>
      </c>
      <c r="K12" s="125">
        <v>0</v>
      </c>
      <c r="L12" s="126">
        <f>H12+I12-K12-J12</f>
        <v>15000000</v>
      </c>
      <c r="M12" s="127">
        <v>0</v>
      </c>
      <c r="N12" s="128">
        <f t="shared" si="2"/>
        <v>15000000</v>
      </c>
      <c r="O12" s="129" t="s">
        <v>259</v>
      </c>
    </row>
    <row r="13" spans="2:15" ht="15.75" x14ac:dyDescent="0.25">
      <c r="B13" s="26"/>
      <c r="C13" s="149" t="s">
        <v>301</v>
      </c>
      <c r="D13" s="131"/>
      <c r="E13" s="132">
        <f>SUM(E8:E12)</f>
        <v>75000000</v>
      </c>
      <c r="F13" s="132"/>
      <c r="G13" s="130"/>
      <c r="H13" s="132">
        <f>SUM(H8:H12)</f>
        <v>75000000</v>
      </c>
      <c r="I13" s="133">
        <v>0</v>
      </c>
      <c r="J13" s="133">
        <v>0</v>
      </c>
      <c r="K13" s="133">
        <v>0</v>
      </c>
      <c r="L13" s="134">
        <f t="shared" ref="L13" si="3">H13+I13-K13-J13</f>
        <v>75000000</v>
      </c>
      <c r="M13" s="135">
        <v>0</v>
      </c>
      <c r="N13" s="132">
        <f>SUM(N8:N12)</f>
        <v>75000000</v>
      </c>
      <c r="O13" s="136"/>
    </row>
    <row r="14" spans="2:15" ht="16.5" customHeight="1" x14ac:dyDescent="0.25">
      <c r="B14" s="124"/>
      <c r="C14" s="51" t="s">
        <v>268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47">
        <f>+'Bảng tính lương '!AL63</f>
        <v>231446709.13461536</v>
      </c>
      <c r="O14" s="26"/>
    </row>
    <row r="15" spans="2:15" ht="15.75" x14ac:dyDescent="0.25">
      <c r="B15" s="124"/>
      <c r="C15" s="51" t="s">
        <v>303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32">
        <f>+'Thuê LD 1'!BN27</f>
        <v>21393000</v>
      </c>
      <c r="O15" s="26"/>
    </row>
    <row r="16" spans="2:15" ht="15.75" customHeight="1" x14ac:dyDescent="0.25">
      <c r="B16" s="124"/>
      <c r="C16" s="150" t="s">
        <v>302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148">
        <f>+SUM(N13:N15)</f>
        <v>327839709.13461536</v>
      </c>
      <c r="O16" s="26"/>
    </row>
  </sheetData>
  <mergeCells count="15">
    <mergeCell ref="B4:O4"/>
    <mergeCell ref="B5:O5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L7"/>
    <mergeCell ref="M6:M7"/>
    <mergeCell ref="N6:N7"/>
    <mergeCell ref="O6:O7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CA6C-14A6-46AA-A501-195E484D46A5}">
  <sheetPr>
    <tabColor theme="4" tint="0.79998168889431442"/>
  </sheetPr>
  <dimension ref="A2:BC61"/>
  <sheetViews>
    <sheetView zoomScale="80" zoomScaleNormal="80" workbookViewId="0">
      <pane xSplit="4" ySplit="5" topLeftCell="AG25" activePane="bottomRight" state="frozen"/>
      <selection pane="topRight" activeCell="E1" sqref="E1"/>
      <selection pane="bottomLeft" activeCell="A6" sqref="A6"/>
      <selection pane="bottomRight" activeCell="AU22" sqref="AU22"/>
    </sheetView>
  </sheetViews>
  <sheetFormatPr defaultRowHeight="15" x14ac:dyDescent="0.25"/>
  <cols>
    <col min="1" max="1" width="6.28515625" customWidth="1"/>
    <col min="2" max="2" width="13.140625" customWidth="1"/>
    <col min="3" max="3" width="11.28515625" customWidth="1"/>
    <col min="4" max="4" width="32.7109375" customWidth="1"/>
    <col min="6" max="6" width="13.85546875" customWidth="1"/>
    <col min="7" max="7" width="13.28515625" bestFit="1" customWidth="1"/>
    <col min="8" max="8" width="11.5703125" bestFit="1" customWidth="1"/>
    <col min="9" max="9" width="10.7109375" customWidth="1"/>
    <col min="10" max="10" width="10.28515625" bestFit="1" customWidth="1"/>
    <col min="11" max="11" width="10.28515625" customWidth="1"/>
    <col min="12" max="12" width="12.140625" customWidth="1"/>
    <col min="13" max="13" width="13.28515625" customWidth="1"/>
    <col min="14" max="14" width="14.140625" customWidth="1"/>
    <col min="15" max="15" width="12" customWidth="1"/>
    <col min="16" max="16" width="12.42578125" customWidth="1"/>
    <col min="18" max="18" width="9.28515625" customWidth="1"/>
    <col min="19" max="19" width="11.28515625" customWidth="1"/>
    <col min="20" max="20" width="9.28515625" customWidth="1"/>
    <col min="22" max="22" width="15.28515625" style="87" customWidth="1"/>
    <col min="23" max="23" width="12.7109375" style="87" customWidth="1"/>
    <col min="24" max="24" width="14" style="87" customWidth="1"/>
    <col min="25" max="25" width="15.140625" style="87" customWidth="1"/>
    <col min="26" max="26" width="12.140625" style="87" customWidth="1"/>
    <col min="27" max="27" width="11" style="87" customWidth="1"/>
    <col min="28" max="28" width="13.28515625" style="87" bestFit="1" customWidth="1"/>
    <col min="29" max="29" width="11.5703125" style="87" bestFit="1" customWidth="1"/>
    <col min="30" max="30" width="11.85546875" style="87" customWidth="1"/>
    <col min="31" max="31" width="10.85546875" style="87" customWidth="1"/>
    <col min="32" max="32" width="10.7109375" style="87" customWidth="1"/>
    <col min="33" max="33" width="13" style="87" customWidth="1"/>
    <col min="34" max="34" width="13.28515625" style="87" customWidth="1"/>
    <col min="35" max="40" width="13.28515625" style="255" customWidth="1"/>
    <col min="41" max="41" width="14.85546875" style="255" customWidth="1"/>
    <col min="42" max="42" width="13.28515625" style="255" customWidth="1"/>
    <col min="43" max="43" width="13.7109375" style="87" customWidth="1"/>
    <col min="44" max="44" width="15" style="87" customWidth="1"/>
    <col min="45" max="45" width="10.5703125" style="87" customWidth="1"/>
    <col min="46" max="46" width="7" style="87" customWidth="1"/>
    <col min="47" max="47" width="12.85546875" style="87" customWidth="1"/>
    <col min="48" max="48" width="14.42578125" customWidth="1"/>
    <col min="49" max="49" width="31" hidden="1" customWidth="1"/>
    <col min="50" max="50" width="11.140625" style="87" bestFit="1" customWidth="1"/>
    <col min="51" max="51" width="12" style="87" bestFit="1" customWidth="1"/>
    <col min="52" max="52" width="11.140625" style="87" bestFit="1" customWidth="1"/>
    <col min="53" max="55" width="12" style="87" bestFit="1" customWidth="1"/>
  </cols>
  <sheetData>
    <row r="2" spans="1:55" x14ac:dyDescent="0.25">
      <c r="AX2" s="305">
        <v>5000000</v>
      </c>
      <c r="AY2" s="305">
        <v>10000000</v>
      </c>
      <c r="AZ2" s="305">
        <v>8000000</v>
      </c>
      <c r="BA2" s="305">
        <v>18000000</v>
      </c>
      <c r="BB2" s="305">
        <v>32000000</v>
      </c>
      <c r="BC2" s="305">
        <v>52000000</v>
      </c>
    </row>
    <row r="3" spans="1:55" ht="15.75" thickBot="1" x14ac:dyDescent="0.3">
      <c r="AX3" s="311">
        <v>0.05</v>
      </c>
      <c r="AY3" s="311">
        <v>0.1</v>
      </c>
      <c r="AZ3" s="311">
        <v>0.15</v>
      </c>
      <c r="BA3" s="311">
        <v>0.2</v>
      </c>
      <c r="BB3" s="311">
        <v>0.25</v>
      </c>
      <c r="BC3" s="311">
        <v>0.3</v>
      </c>
    </row>
    <row r="4" spans="1:55" s="53" customFormat="1" ht="19.5" customHeight="1" x14ac:dyDescent="0.25">
      <c r="A4" s="264" t="s">
        <v>3</v>
      </c>
      <c r="B4" s="265" t="s">
        <v>98</v>
      </c>
      <c r="C4" s="266"/>
      <c r="D4" s="267" t="s">
        <v>93</v>
      </c>
      <c r="E4" s="268" t="s">
        <v>150</v>
      </c>
      <c r="F4" s="269" t="s">
        <v>151</v>
      </c>
      <c r="G4" s="269" t="s">
        <v>152</v>
      </c>
      <c r="H4" s="269"/>
      <c r="I4" s="269"/>
      <c r="J4" s="269"/>
      <c r="K4" s="269"/>
      <c r="L4" s="269"/>
      <c r="M4" s="270" t="s">
        <v>240</v>
      </c>
      <c r="N4" s="269" t="s">
        <v>177</v>
      </c>
      <c r="O4" s="271" t="s">
        <v>153</v>
      </c>
      <c r="P4" s="271"/>
      <c r="Q4" s="271"/>
      <c r="R4" s="271" t="s">
        <v>154</v>
      </c>
      <c r="S4" s="271"/>
      <c r="T4" s="271"/>
      <c r="U4" s="271"/>
      <c r="V4" s="269" t="s">
        <v>155</v>
      </c>
      <c r="W4" s="269"/>
      <c r="X4" s="269"/>
      <c r="Y4" s="269" t="s">
        <v>339</v>
      </c>
      <c r="Z4" s="269" t="s">
        <v>157</v>
      </c>
      <c r="AA4" s="269"/>
      <c r="AB4" s="269"/>
      <c r="AC4" s="269"/>
      <c r="AD4" s="269"/>
      <c r="AE4" s="269"/>
      <c r="AF4" s="270" t="s">
        <v>240</v>
      </c>
      <c r="AG4" s="270" t="s">
        <v>158</v>
      </c>
      <c r="AH4" s="270" t="s">
        <v>156</v>
      </c>
      <c r="AI4" s="296" t="s">
        <v>340</v>
      </c>
      <c r="AJ4" s="296"/>
      <c r="AK4" s="297" t="s">
        <v>307</v>
      </c>
      <c r="AL4" s="297"/>
      <c r="AM4" s="297"/>
      <c r="AN4" s="298" t="s">
        <v>181</v>
      </c>
      <c r="AO4" s="298" t="s">
        <v>308</v>
      </c>
      <c r="AP4" s="298" t="s">
        <v>341</v>
      </c>
      <c r="AQ4" s="269" t="s">
        <v>159</v>
      </c>
      <c r="AR4" s="269"/>
      <c r="AS4" s="269"/>
      <c r="AT4" s="269"/>
      <c r="AU4" s="270" t="s">
        <v>181</v>
      </c>
      <c r="AV4" s="272" t="s">
        <v>160</v>
      </c>
      <c r="AW4" s="256" t="s">
        <v>205</v>
      </c>
      <c r="AX4" s="306"/>
      <c r="AY4" s="306"/>
      <c r="AZ4" s="306"/>
      <c r="BA4" s="306"/>
      <c r="BB4" s="306"/>
      <c r="BC4" s="306"/>
    </row>
    <row r="5" spans="1:55" s="57" customFormat="1" ht="27.75" customHeight="1" thickBot="1" x14ac:dyDescent="0.3">
      <c r="A5" s="273"/>
      <c r="B5" s="274"/>
      <c r="C5" s="275"/>
      <c r="D5" s="276"/>
      <c r="E5" s="277"/>
      <c r="F5" s="278"/>
      <c r="G5" s="279" t="s">
        <v>161</v>
      </c>
      <c r="H5" s="279" t="s">
        <v>162</v>
      </c>
      <c r="I5" s="279" t="s">
        <v>241</v>
      </c>
      <c r="J5" s="279" t="s">
        <v>231</v>
      </c>
      <c r="K5" s="279" t="s">
        <v>163</v>
      </c>
      <c r="L5" s="279" t="s">
        <v>164</v>
      </c>
      <c r="M5" s="280"/>
      <c r="N5" s="278"/>
      <c r="O5" s="281" t="s">
        <v>5</v>
      </c>
      <c r="P5" s="282" t="s">
        <v>165</v>
      </c>
      <c r="Q5" s="281" t="s">
        <v>166</v>
      </c>
      <c r="R5" s="283" t="s">
        <v>167</v>
      </c>
      <c r="S5" s="283" t="s">
        <v>168</v>
      </c>
      <c r="T5" s="283" t="s">
        <v>169</v>
      </c>
      <c r="U5" s="283" t="s">
        <v>170</v>
      </c>
      <c r="V5" s="284" t="s">
        <v>171</v>
      </c>
      <c r="W5" s="284" t="s">
        <v>172</v>
      </c>
      <c r="X5" s="284" t="s">
        <v>173</v>
      </c>
      <c r="Y5" s="278"/>
      <c r="Z5" s="279" t="s">
        <v>161</v>
      </c>
      <c r="AA5" s="279" t="s">
        <v>162</v>
      </c>
      <c r="AB5" s="279" t="s">
        <v>230</v>
      </c>
      <c r="AC5" s="279" t="s">
        <v>231</v>
      </c>
      <c r="AD5" s="279" t="s">
        <v>163</v>
      </c>
      <c r="AE5" s="285" t="s">
        <v>164</v>
      </c>
      <c r="AF5" s="280"/>
      <c r="AG5" s="280"/>
      <c r="AH5" s="280"/>
      <c r="AI5" s="299" t="s">
        <v>304</v>
      </c>
      <c r="AJ5" s="299" t="s">
        <v>305</v>
      </c>
      <c r="AK5" s="300" t="s">
        <v>342</v>
      </c>
      <c r="AL5" s="301" t="s">
        <v>310</v>
      </c>
      <c r="AM5" s="301" t="s">
        <v>311</v>
      </c>
      <c r="AN5" s="302"/>
      <c r="AO5" s="302"/>
      <c r="AP5" s="302"/>
      <c r="AQ5" s="318" t="s">
        <v>174</v>
      </c>
      <c r="AR5" s="318" t="s">
        <v>198</v>
      </c>
      <c r="AS5" s="318" t="s">
        <v>199</v>
      </c>
      <c r="AT5" s="318" t="s">
        <v>175</v>
      </c>
      <c r="AU5" s="280"/>
      <c r="AV5" s="286"/>
      <c r="AW5" s="256"/>
      <c r="AX5" s="307"/>
      <c r="AY5" s="307"/>
      <c r="AZ5" s="307"/>
      <c r="BA5" s="307"/>
      <c r="BB5" s="307"/>
      <c r="BC5" s="307"/>
    </row>
    <row r="6" spans="1:55" s="57" customFormat="1" ht="15.75" x14ac:dyDescent="0.25">
      <c r="A6" s="287">
        <v>1</v>
      </c>
      <c r="B6" s="257" t="s">
        <v>99</v>
      </c>
      <c r="C6" s="257"/>
      <c r="D6" s="257" t="s">
        <v>39</v>
      </c>
      <c r="E6" s="258">
        <v>26</v>
      </c>
      <c r="F6" s="259">
        <v>5500000</v>
      </c>
      <c r="G6" s="259">
        <v>500000</v>
      </c>
      <c r="H6" s="259"/>
      <c r="I6" s="259">
        <v>500000</v>
      </c>
      <c r="J6" s="259"/>
      <c r="K6" s="259"/>
      <c r="L6" s="259"/>
      <c r="M6" s="259"/>
      <c r="N6" s="259">
        <f>SUM(F6:M6)</f>
        <v>6500000</v>
      </c>
      <c r="O6" s="260">
        <f>+VLOOKUP('Bảng tính lương moi( THUE LD2)'!D6,'Ngày công'!$C$6:$AI$57,33,0)+12</f>
        <v>32</v>
      </c>
      <c r="P6" s="261">
        <f>+VLOOKUP(D6,'Ngày công'!$C$6:$AN$57,38,0)</f>
        <v>122.75</v>
      </c>
      <c r="Q6" s="262">
        <f>+VLOOKUP('Bảng tính lương moi( THUE LD2)'!D6,'Ngày công'!$C$6:$AO$57,39,0)</f>
        <v>1</v>
      </c>
      <c r="R6" s="262">
        <f>+VLOOKUP(D6,'Ngày công'!$C$6:$AJ$57,34,0)</f>
        <v>0</v>
      </c>
      <c r="S6" s="262"/>
      <c r="T6" s="262">
        <f>'[1]CHẤM CÔNG'!DS7</f>
        <v>0</v>
      </c>
      <c r="U6" s="262"/>
      <c r="V6" s="259">
        <f>F6/E6*O6</f>
        <v>6769230.769230769</v>
      </c>
      <c r="W6" s="259">
        <f>F6/E6/8*P6</f>
        <v>3245793.269230769</v>
      </c>
      <c r="X6" s="259">
        <f>F6/E6*Q6*3</f>
        <v>634615.38461538462</v>
      </c>
      <c r="Y6" s="259">
        <f>V6+W6+X6</f>
        <v>10649639.423076922</v>
      </c>
      <c r="Z6" s="259">
        <f>G6/E6*O6</f>
        <v>615384.61538461538</v>
      </c>
      <c r="AA6" s="259">
        <f>H6/E6*O6</f>
        <v>0</v>
      </c>
      <c r="AB6" s="259">
        <f>I6/E6*20</f>
        <v>384615.38461538462</v>
      </c>
      <c r="AC6" s="259">
        <f>J6/26*O6</f>
        <v>0</v>
      </c>
      <c r="AD6" s="259">
        <f>K6</f>
        <v>0</v>
      </c>
      <c r="AE6" s="259">
        <f>L6/E6*O6</f>
        <v>0</v>
      </c>
      <c r="AF6" s="259">
        <f>M6/E6*O6</f>
        <v>0</v>
      </c>
      <c r="AG6" s="259">
        <f>SUM(Z6:AF6)</f>
        <v>1000000</v>
      </c>
      <c r="AH6" s="303">
        <f>AG6+Y6</f>
        <v>11649639.423076922</v>
      </c>
      <c r="AI6" s="263"/>
      <c r="AJ6" s="263"/>
      <c r="AK6" s="263"/>
      <c r="AL6" s="295">
        <v>11000000</v>
      </c>
      <c r="AM6" s="263">
        <f>AK6*4400000</f>
        <v>0</v>
      </c>
      <c r="AN6" s="295">
        <f>AM6+AL6+AI6+W6/2</f>
        <v>12622896.634615384</v>
      </c>
      <c r="AO6" s="295">
        <f>AH6-AN6</f>
        <v>-973257.21153846197</v>
      </c>
      <c r="AP6" s="151">
        <f>IF($A6="",0,IF(AO6&lt;=0,0,IF(AO6&lt;=5000000,AO6*$AX$3,IF(AO6&lt;=10000000,$AX$2*$AX$3+(AO6-$AX$2)*$AY$3,IF(AO6&lt;18000000,$AX$2*$AX$3+$AX$2*$AY$3+(AO6-$AY$2)*$AZ$3,IF(AO6&lt;=32000000,$AX$2*$AX$3+$AX$2*$AY$3+$AZ$2*$AZ$3+(AO6-$BA$2)*$BA$3))))))</f>
        <v>0</v>
      </c>
      <c r="AQ6" s="259">
        <f>F6/E6/8*T6</f>
        <v>0</v>
      </c>
      <c r="AR6" s="259"/>
      <c r="AS6" s="259"/>
      <c r="AT6" s="259"/>
      <c r="AU6" s="259">
        <f>SUM(AQ6:AT6)+AP6-AI6-AJ6</f>
        <v>0</v>
      </c>
      <c r="AV6" s="288">
        <f>Y6+AG6-AU6</f>
        <v>11649639.423076922</v>
      </c>
      <c r="AX6" s="307"/>
      <c r="AY6" s="307"/>
      <c r="AZ6" s="307"/>
      <c r="BA6" s="307"/>
      <c r="BB6" s="307"/>
      <c r="BC6" s="307"/>
    </row>
    <row r="7" spans="1:55" s="57" customFormat="1" ht="15.75" x14ac:dyDescent="0.25">
      <c r="A7" s="289">
        <v>2</v>
      </c>
      <c r="B7" s="36" t="s">
        <v>100</v>
      </c>
      <c r="C7" s="36"/>
      <c r="D7" s="36" t="s">
        <v>40</v>
      </c>
      <c r="E7" s="58">
        <v>26</v>
      </c>
      <c r="F7" s="54">
        <v>5500000</v>
      </c>
      <c r="G7" s="54">
        <v>500000</v>
      </c>
      <c r="H7" s="54"/>
      <c r="I7" s="54"/>
      <c r="J7" s="54"/>
      <c r="K7" s="54"/>
      <c r="L7" s="54"/>
      <c r="M7" s="54"/>
      <c r="N7" s="54">
        <f t="shared" ref="N7:N50" si="0">SUM(F7:M7)</f>
        <v>6000000</v>
      </c>
      <c r="O7" s="59">
        <f>+VLOOKUP('Bảng tính lương moi( THUE LD2)'!D7,'Ngày công'!$C$6:$AI$57,33,0)+12</f>
        <v>32</v>
      </c>
      <c r="P7" s="56">
        <f>+VLOOKUP(D7,'Ngày công'!$C$6:$AN$57,38,0)</f>
        <v>95.1</v>
      </c>
      <c r="Q7" s="55">
        <f>+VLOOKUP('Bảng tính lương moi( THUE LD2)'!D7,'Ngày công'!$C$6:$AO$57,39,0)</f>
        <v>0</v>
      </c>
      <c r="R7" s="55">
        <f>+VLOOKUP(D7,'Ngày công'!$C$6:$AJ$57,34,0)</f>
        <v>0</v>
      </c>
      <c r="S7" s="55"/>
      <c r="T7" s="55">
        <f>'[1]CHẤM CÔNG'!DS8</f>
        <v>2.5</v>
      </c>
      <c r="U7" s="55"/>
      <c r="V7" s="54">
        <f t="shared" ref="V7:V58" si="1">F7/E7*O7</f>
        <v>6769230.769230769</v>
      </c>
      <c r="W7" s="54">
        <f t="shared" ref="W7:W58" si="2">F7/E7/8*P7</f>
        <v>2514663.4615384615</v>
      </c>
      <c r="X7" s="54">
        <f t="shared" ref="X7:X55" si="3">F7/E7*Q7*3</f>
        <v>0</v>
      </c>
      <c r="Y7" s="54">
        <f t="shared" ref="Y7:Y54" si="4">V7+W7+X7</f>
        <v>9283894.2307692301</v>
      </c>
      <c r="Z7" s="54">
        <f t="shared" ref="Z7:Z58" si="5">G7/E7*O7</f>
        <v>615384.61538461538</v>
      </c>
      <c r="AA7" s="54">
        <f t="shared" ref="AA7:AA58" si="6">H7/E7*O7</f>
        <v>0</v>
      </c>
      <c r="AB7" s="54">
        <f t="shared" ref="AB7:AB58" si="7">I7/E7*O7</f>
        <v>0</v>
      </c>
      <c r="AC7" s="54">
        <f t="shared" ref="AC7:AC58" si="8">J7/26*O7</f>
        <v>0</v>
      </c>
      <c r="AD7" s="54">
        <f t="shared" ref="AD7:AD58" si="9">K7</f>
        <v>0</v>
      </c>
      <c r="AE7" s="54">
        <f t="shared" ref="AE7:AE58" si="10">L7/E7*O7</f>
        <v>0</v>
      </c>
      <c r="AF7" s="54">
        <f t="shared" ref="AF7:AF58" si="11">M7/E7*O7</f>
        <v>0</v>
      </c>
      <c r="AG7" s="54">
        <f t="shared" ref="AG7:AG58" si="12">SUM(Z7:AF7)</f>
        <v>615384.61538461538</v>
      </c>
      <c r="AH7" s="304">
        <f t="shared" ref="AH7:AH58" si="13">AG7+Y7</f>
        <v>9899278.846153846</v>
      </c>
      <c r="AI7" s="254"/>
      <c r="AJ7" s="254"/>
      <c r="AK7" s="254"/>
      <c r="AL7" s="295">
        <v>11000000</v>
      </c>
      <c r="AM7" s="263">
        <f t="shared" ref="AM7:AM58" si="14">AK7*4400000</f>
        <v>0</v>
      </c>
      <c r="AN7" s="295">
        <f t="shared" ref="AN7:AN58" si="15">AM7+AL7+AI7</f>
        <v>11000000</v>
      </c>
      <c r="AO7" s="295">
        <f t="shared" ref="AO7:AO58" si="16">AH7-AN7</f>
        <v>-1100721.153846154</v>
      </c>
      <c r="AP7" s="151">
        <f t="shared" ref="AP7:AP58" si="17">IF($A7="",0,IF(AO7&lt;=0,0,IF(AO7&lt;=5000000,AO7*$AX$3,IF(AO7&lt;=10000000,$AX$2*$AX$3+(AO7-$AX$2)*$AY$3,IF(AO7&lt;18000000,$AX$2*$AX$3+$AX$2*$AY$3+(AO7-$AY$2)*$AZ$3,IF(AO7&lt;=32000000,$AX$2*$AX$3+$AX$2*$AY$3+$AZ$2*$AZ$3+(AO7-$BA$2)*$BA$3))))))</f>
        <v>0</v>
      </c>
      <c r="AQ7" s="54">
        <f>F7/E7/8*T7</f>
        <v>66105.769230769234</v>
      </c>
      <c r="AR7" s="54"/>
      <c r="AS7" s="54"/>
      <c r="AT7" s="54"/>
      <c r="AU7" s="259">
        <f t="shared" ref="AU7:AU57" si="18">SUM(AQ7:AT7)+AP7-AI7-AJ7</f>
        <v>66105.769230769234</v>
      </c>
      <c r="AV7" s="290">
        <f t="shared" ref="AV7:AV58" si="19">Y7+AG7-AU7</f>
        <v>9833173.0769230761</v>
      </c>
      <c r="AW7" s="57" t="s">
        <v>206</v>
      </c>
      <c r="AX7" s="307"/>
      <c r="AY7" s="307"/>
      <c r="AZ7" s="307"/>
      <c r="BA7" s="307"/>
      <c r="BB7" s="307"/>
      <c r="BC7" s="307"/>
    </row>
    <row r="8" spans="1:55" s="57" customFormat="1" ht="15.75" x14ac:dyDescent="0.25">
      <c r="A8" s="289">
        <v>3</v>
      </c>
      <c r="B8" s="36" t="s">
        <v>101</v>
      </c>
      <c r="C8" s="36"/>
      <c r="D8" s="36" t="s">
        <v>41</v>
      </c>
      <c r="E8" s="58">
        <v>26</v>
      </c>
      <c r="F8" s="54">
        <v>5500000</v>
      </c>
      <c r="G8" s="54">
        <v>500000</v>
      </c>
      <c r="H8" s="54"/>
      <c r="I8" s="54"/>
      <c r="J8" s="54"/>
      <c r="K8" s="54"/>
      <c r="L8" s="54"/>
      <c r="M8" s="54"/>
      <c r="N8" s="54">
        <f t="shared" si="0"/>
        <v>6000000</v>
      </c>
      <c r="O8" s="59">
        <f>+VLOOKUP('Bảng tính lương moi( THUE LD2)'!D8,'Ngày công'!$C$6:$AI$57,33,0)+12</f>
        <v>32</v>
      </c>
      <c r="P8" s="56">
        <f>+VLOOKUP(D8,'Ngày công'!$C$6:$AN$57,38,0)</f>
        <v>82.05</v>
      </c>
      <c r="Q8" s="55">
        <f>+VLOOKUP('Bảng tính lương moi( THUE LD2)'!D8,'Ngày công'!$C$6:$AO$57,39,0)</f>
        <v>0</v>
      </c>
      <c r="R8" s="55">
        <f>+VLOOKUP(D8,'Ngày công'!$C$6:$AJ$57,34,0)</f>
        <v>0</v>
      </c>
      <c r="S8" s="55"/>
      <c r="T8" s="55">
        <f>'[1]CHẤM CÔNG'!DS9</f>
        <v>0</v>
      </c>
      <c r="U8" s="55"/>
      <c r="V8" s="54">
        <f t="shared" si="1"/>
        <v>6769230.769230769</v>
      </c>
      <c r="W8" s="54">
        <f>F8/E8/8*P8</f>
        <v>2169591.346153846</v>
      </c>
      <c r="X8" s="54">
        <f t="shared" si="3"/>
        <v>0</v>
      </c>
      <c r="Y8" s="54">
        <f t="shared" si="4"/>
        <v>8938822.115384616</v>
      </c>
      <c r="Z8" s="54">
        <f t="shared" si="5"/>
        <v>615384.61538461538</v>
      </c>
      <c r="AA8" s="54">
        <f t="shared" si="6"/>
        <v>0</v>
      </c>
      <c r="AB8" s="54">
        <f t="shared" si="7"/>
        <v>0</v>
      </c>
      <c r="AC8" s="54">
        <f t="shared" si="8"/>
        <v>0</v>
      </c>
      <c r="AD8" s="54">
        <f t="shared" si="9"/>
        <v>0</v>
      </c>
      <c r="AE8" s="54">
        <f t="shared" si="10"/>
        <v>0</v>
      </c>
      <c r="AF8" s="54">
        <f t="shared" si="11"/>
        <v>0</v>
      </c>
      <c r="AG8" s="54">
        <f t="shared" si="12"/>
        <v>615384.61538461538</v>
      </c>
      <c r="AH8" s="304">
        <f t="shared" si="13"/>
        <v>9554206.7307692319</v>
      </c>
      <c r="AI8" s="254"/>
      <c r="AJ8" s="254"/>
      <c r="AK8" s="254"/>
      <c r="AL8" s="295">
        <v>11000000</v>
      </c>
      <c r="AM8" s="263">
        <f t="shared" si="14"/>
        <v>0</v>
      </c>
      <c r="AN8" s="295">
        <f t="shared" si="15"/>
        <v>11000000</v>
      </c>
      <c r="AO8" s="295">
        <f t="shared" si="16"/>
        <v>-1445793.2692307681</v>
      </c>
      <c r="AP8" s="151">
        <f t="shared" si="17"/>
        <v>0</v>
      </c>
      <c r="AQ8" s="54">
        <f t="shared" ref="AQ8:AQ55" si="20">F8/E8/8*T8</f>
        <v>0</v>
      </c>
      <c r="AR8" s="54"/>
      <c r="AS8" s="54"/>
      <c r="AT8" s="54"/>
      <c r="AU8" s="259">
        <f t="shared" si="18"/>
        <v>0</v>
      </c>
      <c r="AV8" s="290">
        <f t="shared" si="19"/>
        <v>9554206.7307692319</v>
      </c>
      <c r="AW8" s="57" t="s">
        <v>209</v>
      </c>
      <c r="AX8" s="307"/>
      <c r="AY8" s="307"/>
      <c r="AZ8" s="307"/>
      <c r="BA8" s="307"/>
      <c r="BB8" s="307"/>
      <c r="BC8" s="307"/>
    </row>
    <row r="9" spans="1:55" s="57" customFormat="1" ht="15.75" x14ac:dyDescent="0.25">
      <c r="A9" s="289">
        <v>4</v>
      </c>
      <c r="B9" s="36" t="s">
        <v>102</v>
      </c>
      <c r="C9" s="36"/>
      <c r="D9" s="36" t="s">
        <v>42</v>
      </c>
      <c r="E9" s="58">
        <v>26</v>
      </c>
      <c r="F9" s="54">
        <v>5500000</v>
      </c>
      <c r="G9" s="54">
        <v>500000</v>
      </c>
      <c r="H9" s="54">
        <v>200000</v>
      </c>
      <c r="I9" s="54"/>
      <c r="J9" s="54"/>
      <c r="K9" s="54"/>
      <c r="L9" s="54"/>
      <c r="M9" s="54"/>
      <c r="N9" s="54">
        <f t="shared" si="0"/>
        <v>6200000</v>
      </c>
      <c r="O9" s="59">
        <f>+VLOOKUP('Bảng tính lương moi( THUE LD2)'!D9,'Ngày công'!$C$6:$AI$57,33,0)</f>
        <v>15</v>
      </c>
      <c r="P9" s="56">
        <f>+VLOOKUP(D9,'Ngày công'!$C$6:$AN$57,38,0)</f>
        <v>67</v>
      </c>
      <c r="Q9" s="55">
        <f>+VLOOKUP('Bảng tính lương moi( THUE LD2)'!D9,'Ngày công'!$C$6:$AO$57,39,0)</f>
        <v>0</v>
      </c>
      <c r="R9" s="55">
        <f>+VLOOKUP(D9,'Ngày công'!$C$6:$AJ$57,34,0)</f>
        <v>3</v>
      </c>
      <c r="S9" s="55"/>
      <c r="T9" s="55">
        <f>'[1]CHẤM CÔNG'!DS10</f>
        <v>0</v>
      </c>
      <c r="U9" s="55"/>
      <c r="V9" s="54">
        <f t="shared" si="1"/>
        <v>3173076.923076923</v>
      </c>
      <c r="W9" s="54">
        <f t="shared" si="2"/>
        <v>1771634.6153846153</v>
      </c>
      <c r="X9" s="54">
        <f t="shared" si="3"/>
        <v>0</v>
      </c>
      <c r="Y9" s="54">
        <f t="shared" si="4"/>
        <v>4944711.538461538</v>
      </c>
      <c r="Z9" s="54">
        <f t="shared" si="5"/>
        <v>288461.53846153844</v>
      </c>
      <c r="AA9" s="54">
        <f t="shared" si="6"/>
        <v>115384.61538461539</v>
      </c>
      <c r="AB9" s="54">
        <f t="shared" si="7"/>
        <v>0</v>
      </c>
      <c r="AC9" s="54">
        <f t="shared" si="8"/>
        <v>0</v>
      </c>
      <c r="AD9" s="54">
        <f t="shared" si="9"/>
        <v>0</v>
      </c>
      <c r="AE9" s="54">
        <f t="shared" si="10"/>
        <v>0</v>
      </c>
      <c r="AF9" s="54">
        <f t="shared" si="11"/>
        <v>0</v>
      </c>
      <c r="AG9" s="54">
        <f t="shared" si="12"/>
        <v>403846.15384615381</v>
      </c>
      <c r="AH9" s="304">
        <f t="shared" si="13"/>
        <v>5348557.692307692</v>
      </c>
      <c r="AI9" s="254"/>
      <c r="AJ9" s="254"/>
      <c r="AK9" s="254"/>
      <c r="AL9" s="295">
        <v>11000000</v>
      </c>
      <c r="AM9" s="263">
        <f t="shared" si="14"/>
        <v>0</v>
      </c>
      <c r="AN9" s="295">
        <f t="shared" si="15"/>
        <v>11000000</v>
      </c>
      <c r="AO9" s="295">
        <f t="shared" si="16"/>
        <v>-5651442.307692308</v>
      </c>
      <c r="AP9" s="151">
        <f t="shared" si="17"/>
        <v>0</v>
      </c>
      <c r="AQ9" s="54">
        <f t="shared" si="20"/>
        <v>0</v>
      </c>
      <c r="AR9" s="54"/>
      <c r="AS9" s="54"/>
      <c r="AT9" s="54"/>
      <c r="AU9" s="259">
        <f t="shared" si="18"/>
        <v>0</v>
      </c>
      <c r="AV9" s="290">
        <f t="shared" si="19"/>
        <v>5348557.692307692</v>
      </c>
      <c r="AW9" s="67" t="s">
        <v>210</v>
      </c>
      <c r="AX9" s="307"/>
      <c r="AY9" s="307"/>
      <c r="AZ9" s="307"/>
      <c r="BA9" s="307"/>
      <c r="BB9" s="307"/>
      <c r="BC9" s="307"/>
    </row>
    <row r="10" spans="1:55" s="67" customFormat="1" ht="15.75" x14ac:dyDescent="0.25">
      <c r="A10" s="291">
        <v>5</v>
      </c>
      <c r="B10" s="50" t="s">
        <v>103</v>
      </c>
      <c r="C10" s="50"/>
      <c r="D10" s="50" t="s">
        <v>43</v>
      </c>
      <c r="E10" s="63">
        <v>26</v>
      </c>
      <c r="F10" s="64">
        <v>4450000</v>
      </c>
      <c r="G10" s="64"/>
      <c r="H10" s="64"/>
      <c r="I10" s="64"/>
      <c r="J10" s="64"/>
      <c r="K10" s="64"/>
      <c r="L10" s="64"/>
      <c r="M10" s="64"/>
      <c r="N10" s="64">
        <f>SUM(F10:M10)</f>
        <v>4450000</v>
      </c>
      <c r="O10" s="59">
        <f>+VLOOKUP('Bảng tính lương moi( THUE LD2)'!D10,'Ngày công'!$C$6:$AI$57,33,0)</f>
        <v>3</v>
      </c>
      <c r="P10" s="56">
        <f>+VLOOKUP(D10,'Ngày công'!$C$6:$AN$57,38,0)</f>
        <v>1.5</v>
      </c>
      <c r="Q10" s="55">
        <f>+VLOOKUP('Bảng tính lương moi( THUE LD2)'!D10,'Ngày công'!$C$6:$AO$57,39,0)</f>
        <v>0</v>
      </c>
      <c r="R10" s="55">
        <f>+VLOOKUP(D10,'Ngày công'!$C$6:$AJ$57,34,0)</f>
        <v>1</v>
      </c>
      <c r="S10" s="65"/>
      <c r="T10" s="65">
        <f>'[1]CHẤM CÔNG'!DS11</f>
        <v>0</v>
      </c>
      <c r="U10" s="65"/>
      <c r="V10" s="64">
        <f t="shared" si="1"/>
        <v>513461.5384615385</v>
      </c>
      <c r="W10" s="64">
        <f t="shared" si="2"/>
        <v>32091.346153846156</v>
      </c>
      <c r="X10" s="64">
        <f t="shared" si="3"/>
        <v>0</v>
      </c>
      <c r="Y10" s="64">
        <f t="shared" si="4"/>
        <v>545552.88461538462</v>
      </c>
      <c r="Z10" s="64">
        <f t="shared" si="5"/>
        <v>0</v>
      </c>
      <c r="AA10" s="64">
        <f t="shared" si="6"/>
        <v>0</v>
      </c>
      <c r="AB10" s="64">
        <f t="shared" si="7"/>
        <v>0</v>
      </c>
      <c r="AC10" s="64">
        <f t="shared" si="8"/>
        <v>0</v>
      </c>
      <c r="AD10" s="64">
        <f t="shared" si="9"/>
        <v>0</v>
      </c>
      <c r="AE10" s="64">
        <f t="shared" si="10"/>
        <v>0</v>
      </c>
      <c r="AF10" s="64">
        <f t="shared" si="11"/>
        <v>0</v>
      </c>
      <c r="AG10" s="64">
        <f t="shared" si="12"/>
        <v>0</v>
      </c>
      <c r="AH10" s="304">
        <f t="shared" si="13"/>
        <v>545552.88461538462</v>
      </c>
      <c r="AI10" s="254"/>
      <c r="AJ10" s="254"/>
      <c r="AK10" s="254"/>
      <c r="AL10" s="295">
        <v>11000000</v>
      </c>
      <c r="AM10" s="263">
        <f t="shared" si="14"/>
        <v>0</v>
      </c>
      <c r="AN10" s="295">
        <f t="shared" si="15"/>
        <v>11000000</v>
      </c>
      <c r="AO10" s="295">
        <f t="shared" si="16"/>
        <v>-10454447.115384616</v>
      </c>
      <c r="AP10" s="151">
        <f t="shared" si="17"/>
        <v>0</v>
      </c>
      <c r="AQ10" s="64">
        <f t="shared" si="20"/>
        <v>0</v>
      </c>
      <c r="AR10" s="64"/>
      <c r="AS10" s="64"/>
      <c r="AT10" s="64"/>
      <c r="AU10" s="259">
        <f t="shared" si="18"/>
        <v>0</v>
      </c>
      <c r="AV10" s="292">
        <f>Y10+AG10-AU10</f>
        <v>545552.88461538462</v>
      </c>
      <c r="AW10" s="67" t="s">
        <v>217</v>
      </c>
      <c r="AX10" s="308"/>
      <c r="AY10" s="308"/>
      <c r="AZ10" s="308"/>
      <c r="BA10" s="308"/>
      <c r="BB10" s="308"/>
      <c r="BC10" s="308"/>
    </row>
    <row r="11" spans="1:55" s="67" customFormat="1" ht="15.75" x14ac:dyDescent="0.25">
      <c r="A11" s="291">
        <v>6</v>
      </c>
      <c r="B11" s="50" t="s">
        <v>104</v>
      </c>
      <c r="C11" s="50"/>
      <c r="D11" s="50" t="s">
        <v>44</v>
      </c>
      <c r="E11" s="63">
        <v>26</v>
      </c>
      <c r="F11" s="64">
        <v>4450000</v>
      </c>
      <c r="G11" s="64"/>
      <c r="H11" s="64"/>
      <c r="I11" s="64"/>
      <c r="J11" s="64"/>
      <c r="K11" s="64"/>
      <c r="L11" s="64"/>
      <c r="M11" s="64"/>
      <c r="N11" s="64">
        <f t="shared" si="0"/>
        <v>4450000</v>
      </c>
      <c r="O11" s="59">
        <f>+VLOOKUP('Bảng tính lương moi( THUE LD2)'!D11,'Ngày công'!$C$6:$AI$57,33,0)</f>
        <v>3</v>
      </c>
      <c r="P11" s="56">
        <f>+VLOOKUP(D11,'Ngày công'!$C$6:$AN$57,38,0)</f>
        <v>1.5</v>
      </c>
      <c r="Q11" s="55">
        <f>+VLOOKUP('Bảng tính lương moi( THUE LD2)'!D11,'Ngày công'!$C$6:$AO$57,39,0)</f>
        <v>0</v>
      </c>
      <c r="R11" s="55">
        <f>+VLOOKUP(D11,'Ngày công'!$C$6:$AJ$57,34,0)</f>
        <v>1</v>
      </c>
      <c r="S11" s="65"/>
      <c r="T11" s="65">
        <f>'[1]CHẤM CÔNG'!DS12</f>
        <v>0</v>
      </c>
      <c r="U11" s="65"/>
      <c r="V11" s="64">
        <f t="shared" si="1"/>
        <v>513461.5384615385</v>
      </c>
      <c r="W11" s="64">
        <f t="shared" si="2"/>
        <v>32091.346153846156</v>
      </c>
      <c r="X11" s="64">
        <f t="shared" si="3"/>
        <v>0</v>
      </c>
      <c r="Y11" s="64">
        <f t="shared" si="4"/>
        <v>545552.88461538462</v>
      </c>
      <c r="Z11" s="64">
        <f t="shared" si="5"/>
        <v>0</v>
      </c>
      <c r="AA11" s="64">
        <f t="shared" si="6"/>
        <v>0</v>
      </c>
      <c r="AB11" s="64">
        <f t="shared" si="7"/>
        <v>0</v>
      </c>
      <c r="AC11" s="64">
        <f t="shared" si="8"/>
        <v>0</v>
      </c>
      <c r="AD11" s="64">
        <f t="shared" si="9"/>
        <v>0</v>
      </c>
      <c r="AE11" s="64">
        <f t="shared" si="10"/>
        <v>0</v>
      </c>
      <c r="AF11" s="64">
        <f t="shared" si="11"/>
        <v>0</v>
      </c>
      <c r="AG11" s="64">
        <f t="shared" si="12"/>
        <v>0</v>
      </c>
      <c r="AH11" s="304">
        <f t="shared" si="13"/>
        <v>545552.88461538462</v>
      </c>
      <c r="AI11" s="254"/>
      <c r="AJ11" s="254"/>
      <c r="AK11" s="254"/>
      <c r="AL11" s="295">
        <v>11000000</v>
      </c>
      <c r="AM11" s="263">
        <f t="shared" si="14"/>
        <v>0</v>
      </c>
      <c r="AN11" s="295">
        <f t="shared" si="15"/>
        <v>11000000</v>
      </c>
      <c r="AO11" s="295">
        <f t="shared" si="16"/>
        <v>-10454447.115384616</v>
      </c>
      <c r="AP11" s="151">
        <f t="shared" si="17"/>
        <v>0</v>
      </c>
      <c r="AQ11" s="64">
        <f t="shared" si="20"/>
        <v>0</v>
      </c>
      <c r="AR11" s="64"/>
      <c r="AS11" s="64"/>
      <c r="AT11" s="64"/>
      <c r="AU11" s="259">
        <f t="shared" si="18"/>
        <v>0</v>
      </c>
      <c r="AV11" s="292">
        <f t="shared" si="19"/>
        <v>545552.88461538462</v>
      </c>
      <c r="AW11" s="67" t="s">
        <v>217</v>
      </c>
      <c r="AX11" s="308"/>
      <c r="AY11" s="308"/>
      <c r="AZ11" s="308"/>
      <c r="BA11" s="308"/>
      <c r="BB11" s="308"/>
      <c r="BC11" s="308"/>
    </row>
    <row r="12" spans="1:55" s="57" customFormat="1" ht="15.75" x14ac:dyDescent="0.25">
      <c r="A12" s="289">
        <v>7</v>
      </c>
      <c r="B12" s="36" t="s">
        <v>105</v>
      </c>
      <c r="C12" s="36"/>
      <c r="D12" s="36" t="s">
        <v>45</v>
      </c>
      <c r="E12" s="58">
        <v>26</v>
      </c>
      <c r="F12" s="54">
        <v>4450000</v>
      </c>
      <c r="G12" s="54">
        <v>500000</v>
      </c>
      <c r="H12" s="54">
        <v>250000</v>
      </c>
      <c r="I12" s="54"/>
      <c r="J12" s="54"/>
      <c r="K12" s="54"/>
      <c r="L12" s="54">
        <v>300000</v>
      </c>
      <c r="M12" s="54">
        <v>500000</v>
      </c>
      <c r="N12" s="54">
        <f t="shared" si="0"/>
        <v>6000000</v>
      </c>
      <c r="O12" s="59">
        <f>+VLOOKUP('Bảng tính lương moi( THUE LD2)'!D12,'Ngày công'!$C$6:$AI$57,33,0)</f>
        <v>18</v>
      </c>
      <c r="P12" s="56">
        <f>+VLOOKUP(D12,'Ngày công'!$C$6:$AN$57,38,0)</f>
        <v>24.25</v>
      </c>
      <c r="Q12" s="55">
        <f>+VLOOKUP('Bảng tính lương moi( THUE LD2)'!D12,'Ngày công'!$C$6:$AO$57,39,0)</f>
        <v>0</v>
      </c>
      <c r="R12" s="55">
        <f>+VLOOKUP(D12,'Ngày công'!$C$6:$AJ$57,34,0)</f>
        <v>2</v>
      </c>
      <c r="S12" s="55"/>
      <c r="T12" s="55">
        <f>'[1]CHẤM CÔNG'!DS13</f>
        <v>0</v>
      </c>
      <c r="U12" s="55"/>
      <c r="V12" s="54">
        <f t="shared" si="1"/>
        <v>3080769.230769231</v>
      </c>
      <c r="W12" s="54">
        <f t="shared" si="2"/>
        <v>518810.09615384619</v>
      </c>
      <c r="X12" s="54">
        <f t="shared" si="3"/>
        <v>0</v>
      </c>
      <c r="Y12" s="54">
        <f t="shared" si="4"/>
        <v>3599579.326923077</v>
      </c>
      <c r="Z12" s="54">
        <f t="shared" si="5"/>
        <v>346153.84615384613</v>
      </c>
      <c r="AA12" s="54">
        <f t="shared" si="6"/>
        <v>173076.92307692306</v>
      </c>
      <c r="AB12" s="54">
        <f t="shared" si="7"/>
        <v>0</v>
      </c>
      <c r="AC12" s="54">
        <f t="shared" si="8"/>
        <v>0</v>
      </c>
      <c r="AD12" s="54">
        <f t="shared" si="9"/>
        <v>0</v>
      </c>
      <c r="AE12" s="54">
        <f>L12/E12*O12</f>
        <v>207692.30769230769</v>
      </c>
      <c r="AF12" s="54">
        <f>M12/E12*O12</f>
        <v>346153.84615384613</v>
      </c>
      <c r="AG12" s="54">
        <f t="shared" si="12"/>
        <v>1073076.923076923</v>
      </c>
      <c r="AH12" s="304">
        <f t="shared" si="13"/>
        <v>4672656.25</v>
      </c>
      <c r="AI12" s="254"/>
      <c r="AJ12" s="254"/>
      <c r="AK12" s="254"/>
      <c r="AL12" s="295">
        <v>11000000</v>
      </c>
      <c r="AM12" s="263">
        <f t="shared" si="14"/>
        <v>0</v>
      </c>
      <c r="AN12" s="295">
        <f t="shared" si="15"/>
        <v>11000000</v>
      </c>
      <c r="AO12" s="295">
        <f t="shared" si="16"/>
        <v>-6327343.75</v>
      </c>
      <c r="AP12" s="151">
        <f t="shared" si="17"/>
        <v>0</v>
      </c>
      <c r="AQ12" s="54">
        <f t="shared" si="20"/>
        <v>0</v>
      </c>
      <c r="AR12" s="54"/>
      <c r="AS12" s="54"/>
      <c r="AT12" s="54"/>
      <c r="AU12" s="259">
        <f t="shared" si="18"/>
        <v>0</v>
      </c>
      <c r="AV12" s="290">
        <f t="shared" si="19"/>
        <v>4672656.25</v>
      </c>
      <c r="AW12" s="57" t="s">
        <v>212</v>
      </c>
      <c r="AX12" s="307"/>
      <c r="AY12" s="307"/>
      <c r="AZ12" s="307"/>
      <c r="BA12" s="307"/>
      <c r="BB12" s="307"/>
      <c r="BC12" s="307"/>
    </row>
    <row r="13" spans="1:55" s="57" customFormat="1" ht="15.75" x14ac:dyDescent="0.25">
      <c r="A13" s="289">
        <v>8</v>
      </c>
      <c r="B13" s="36" t="s">
        <v>106</v>
      </c>
      <c r="C13" s="36"/>
      <c r="D13" s="36" t="s">
        <v>46</v>
      </c>
      <c r="E13" s="58">
        <v>26</v>
      </c>
      <c r="F13" s="54">
        <v>4450000</v>
      </c>
      <c r="G13" s="54">
        <v>500000</v>
      </c>
      <c r="H13" s="54">
        <v>250000</v>
      </c>
      <c r="I13" s="54"/>
      <c r="J13" s="54"/>
      <c r="K13" s="54"/>
      <c r="L13" s="54">
        <v>300000</v>
      </c>
      <c r="M13" s="54">
        <v>500000</v>
      </c>
      <c r="N13" s="54">
        <f t="shared" si="0"/>
        <v>6000000</v>
      </c>
      <c r="O13" s="59">
        <f>+VLOOKUP('Bảng tính lương moi( THUE LD2)'!D13,'Ngày công'!$C$6:$AI$57,33,0)</f>
        <v>18.5</v>
      </c>
      <c r="P13" s="56">
        <f>+VLOOKUP(D13,'Ngày công'!$C$6:$AN$57,38,0)</f>
        <v>117</v>
      </c>
      <c r="Q13" s="55">
        <f>+VLOOKUP('Bảng tính lương moi( THUE LD2)'!D13,'Ngày công'!$C$6:$AO$57,39,0)</f>
        <v>1</v>
      </c>
      <c r="R13" s="55">
        <f>+VLOOKUP(D13,'Ngày công'!$C$6:$AJ$57,34,0)</f>
        <v>0</v>
      </c>
      <c r="S13" s="55"/>
      <c r="T13" s="55">
        <f>'[1]CHẤM CÔNG'!DS14</f>
        <v>0</v>
      </c>
      <c r="U13" s="55"/>
      <c r="V13" s="54">
        <f t="shared" si="1"/>
        <v>3166346.153846154</v>
      </c>
      <c r="W13" s="54">
        <f t="shared" si="2"/>
        <v>2503125</v>
      </c>
      <c r="X13" s="54">
        <f t="shared" si="3"/>
        <v>513461.5384615385</v>
      </c>
      <c r="Y13" s="54">
        <f t="shared" si="4"/>
        <v>6182932.692307692</v>
      </c>
      <c r="Z13" s="54">
        <f t="shared" si="5"/>
        <v>355769.23076923075</v>
      </c>
      <c r="AA13" s="54">
        <f t="shared" si="6"/>
        <v>177884.61538461538</v>
      </c>
      <c r="AB13" s="54">
        <f t="shared" si="7"/>
        <v>0</v>
      </c>
      <c r="AC13" s="54">
        <f t="shared" si="8"/>
        <v>0</v>
      </c>
      <c r="AD13" s="54">
        <f t="shared" si="9"/>
        <v>0</v>
      </c>
      <c r="AE13" s="54">
        <f t="shared" si="10"/>
        <v>213461.53846153847</v>
      </c>
      <c r="AF13" s="54">
        <f t="shared" si="11"/>
        <v>355769.23076923075</v>
      </c>
      <c r="AG13" s="54">
        <f t="shared" si="12"/>
        <v>1102884.6153846155</v>
      </c>
      <c r="AH13" s="304">
        <f t="shared" si="13"/>
        <v>7285817.307692308</v>
      </c>
      <c r="AI13" s="254"/>
      <c r="AJ13" s="254"/>
      <c r="AK13" s="254"/>
      <c r="AL13" s="295">
        <v>11000000</v>
      </c>
      <c r="AM13" s="263">
        <f t="shared" si="14"/>
        <v>0</v>
      </c>
      <c r="AN13" s="295">
        <f t="shared" si="15"/>
        <v>11000000</v>
      </c>
      <c r="AO13" s="295">
        <f t="shared" si="16"/>
        <v>-3714182.692307692</v>
      </c>
      <c r="AP13" s="151">
        <f t="shared" si="17"/>
        <v>0</v>
      </c>
      <c r="AQ13" s="54">
        <f t="shared" si="20"/>
        <v>0</v>
      </c>
      <c r="AR13" s="54"/>
      <c r="AS13" s="54"/>
      <c r="AT13" s="54"/>
      <c r="AU13" s="259">
        <f t="shared" si="18"/>
        <v>0</v>
      </c>
      <c r="AV13" s="290">
        <f t="shared" si="19"/>
        <v>7285817.307692308</v>
      </c>
      <c r="AW13" s="57" t="s">
        <v>211</v>
      </c>
      <c r="AX13" s="307"/>
      <c r="AY13" s="307"/>
      <c r="AZ13" s="307"/>
      <c r="BA13" s="307"/>
      <c r="BB13" s="307"/>
      <c r="BC13" s="307"/>
    </row>
    <row r="14" spans="1:55" s="57" customFormat="1" ht="15.75" x14ac:dyDescent="0.25">
      <c r="A14" s="289">
        <v>9</v>
      </c>
      <c r="B14" s="36" t="s">
        <v>107</v>
      </c>
      <c r="C14" s="36"/>
      <c r="D14" s="36" t="s">
        <v>47</v>
      </c>
      <c r="E14" s="58">
        <v>26</v>
      </c>
      <c r="F14" s="54">
        <v>4450000</v>
      </c>
      <c r="G14" s="54">
        <v>500000</v>
      </c>
      <c r="H14" s="54">
        <v>250000</v>
      </c>
      <c r="I14" s="54"/>
      <c r="J14" s="54"/>
      <c r="K14" s="54"/>
      <c r="L14" s="54">
        <v>300000</v>
      </c>
      <c r="M14" s="54">
        <v>500000</v>
      </c>
      <c r="N14" s="54">
        <f t="shared" si="0"/>
        <v>6000000</v>
      </c>
      <c r="O14" s="59">
        <f>+VLOOKUP('Bảng tính lương moi( THUE LD2)'!D14,'Ngày công'!$C$6:$AI$57,33,0)</f>
        <v>19.5</v>
      </c>
      <c r="P14" s="56">
        <f>+VLOOKUP(D14,'Ngày công'!$C$6:$AN$57,38,0)</f>
        <v>135.15</v>
      </c>
      <c r="Q14" s="55">
        <f>+VLOOKUP('Bảng tính lương moi( THUE LD2)'!D14,'Ngày công'!$C$6:$AO$57,39,0)</f>
        <v>1</v>
      </c>
      <c r="R14" s="55">
        <f>+VLOOKUP(D14,'Ngày công'!$C$6:$AJ$57,34,0)</f>
        <v>0</v>
      </c>
      <c r="S14" s="55"/>
      <c r="T14" s="55">
        <f>'[1]CHẤM CÔNG'!DS15</f>
        <v>0</v>
      </c>
      <c r="U14" s="55"/>
      <c r="V14" s="54">
        <f t="shared" si="1"/>
        <v>3337500</v>
      </c>
      <c r="W14" s="54">
        <f t="shared" si="2"/>
        <v>2891430.2884615385</v>
      </c>
      <c r="X14" s="54">
        <f t="shared" si="3"/>
        <v>513461.5384615385</v>
      </c>
      <c r="Y14" s="54">
        <f t="shared" si="4"/>
        <v>6742391.8269230761</v>
      </c>
      <c r="Z14" s="54">
        <f t="shared" si="5"/>
        <v>375000</v>
      </c>
      <c r="AA14" s="54">
        <f t="shared" si="6"/>
        <v>187500</v>
      </c>
      <c r="AB14" s="54">
        <f t="shared" si="7"/>
        <v>0</v>
      </c>
      <c r="AC14" s="54">
        <f t="shared" si="8"/>
        <v>0</v>
      </c>
      <c r="AD14" s="54">
        <f t="shared" si="9"/>
        <v>0</v>
      </c>
      <c r="AE14" s="54">
        <f t="shared" si="10"/>
        <v>225000</v>
      </c>
      <c r="AF14" s="54">
        <f t="shared" si="11"/>
        <v>375000</v>
      </c>
      <c r="AG14" s="54">
        <f t="shared" si="12"/>
        <v>1162500</v>
      </c>
      <c r="AH14" s="304">
        <f t="shared" si="13"/>
        <v>7904891.8269230761</v>
      </c>
      <c r="AI14" s="254"/>
      <c r="AJ14" s="254"/>
      <c r="AK14" s="254"/>
      <c r="AL14" s="295">
        <v>11000000</v>
      </c>
      <c r="AM14" s="263">
        <f t="shared" si="14"/>
        <v>0</v>
      </c>
      <c r="AN14" s="295">
        <f t="shared" si="15"/>
        <v>11000000</v>
      </c>
      <c r="AO14" s="295">
        <f t="shared" si="16"/>
        <v>-3095108.1730769239</v>
      </c>
      <c r="AP14" s="151">
        <f t="shared" si="17"/>
        <v>0</v>
      </c>
      <c r="AQ14" s="54">
        <f t="shared" si="20"/>
        <v>0</v>
      </c>
      <c r="AR14" s="54"/>
      <c r="AS14" s="54"/>
      <c r="AT14" s="54"/>
      <c r="AU14" s="259">
        <f t="shared" si="18"/>
        <v>0</v>
      </c>
      <c r="AV14" s="290">
        <f t="shared" si="19"/>
        <v>7904891.8269230761</v>
      </c>
      <c r="AW14" s="57" t="s">
        <v>216</v>
      </c>
      <c r="AX14" s="307"/>
      <c r="AY14" s="307"/>
      <c r="AZ14" s="307"/>
      <c r="BA14" s="307"/>
      <c r="BB14" s="307"/>
      <c r="BC14" s="307"/>
    </row>
    <row r="15" spans="1:55" s="57" customFormat="1" ht="15.75" x14ac:dyDescent="0.25">
      <c r="A15" s="289">
        <v>10</v>
      </c>
      <c r="B15" s="36" t="s">
        <v>108</v>
      </c>
      <c r="C15" s="36"/>
      <c r="D15" s="36" t="s">
        <v>48</v>
      </c>
      <c r="E15" s="58">
        <v>26</v>
      </c>
      <c r="F15" s="54">
        <v>4450000</v>
      </c>
      <c r="G15" s="54">
        <v>500000</v>
      </c>
      <c r="H15" s="54">
        <v>250000</v>
      </c>
      <c r="I15" s="54"/>
      <c r="J15" s="54"/>
      <c r="K15" s="54">
        <v>300000</v>
      </c>
      <c r="L15" s="54">
        <v>300000</v>
      </c>
      <c r="M15" s="54">
        <v>500000</v>
      </c>
      <c r="N15" s="54">
        <f>SUM(F15:M15)</f>
        <v>6300000</v>
      </c>
      <c r="O15" s="59">
        <f>+VLOOKUP('Bảng tính lương moi( THUE LD2)'!D15,'Ngày công'!$C$6:$AI$57,33,0)</f>
        <v>20</v>
      </c>
      <c r="P15" s="56">
        <f>+VLOOKUP(D15,'Ngày công'!$C$6:$AN$57,38,0)</f>
        <v>155.69999999999999</v>
      </c>
      <c r="Q15" s="55">
        <f>+VLOOKUP('Bảng tính lương moi( THUE LD2)'!D15,'Ngày công'!$C$6:$AO$57,39,0)</f>
        <v>1</v>
      </c>
      <c r="R15" s="55">
        <f>+VLOOKUP(D15,'Ngày công'!$C$6:$AJ$57,34,0)</f>
        <v>0</v>
      </c>
      <c r="S15" s="55"/>
      <c r="T15" s="55">
        <f>'[1]CHẤM CÔNG'!DS16</f>
        <v>0</v>
      </c>
      <c r="U15" s="55"/>
      <c r="V15" s="54">
        <f t="shared" si="1"/>
        <v>3423076.923076923</v>
      </c>
      <c r="W15" s="54">
        <f t="shared" si="2"/>
        <v>3331081.7307692305</v>
      </c>
      <c r="X15" s="54">
        <f t="shared" si="3"/>
        <v>513461.5384615385</v>
      </c>
      <c r="Y15" s="54">
        <f t="shared" si="4"/>
        <v>7267620.192307692</v>
      </c>
      <c r="Z15" s="54">
        <f t="shared" si="5"/>
        <v>384615.38461538462</v>
      </c>
      <c r="AA15" s="54">
        <f t="shared" si="6"/>
        <v>192307.69230769231</v>
      </c>
      <c r="AB15" s="54">
        <f t="shared" si="7"/>
        <v>0</v>
      </c>
      <c r="AC15" s="54">
        <f t="shared" si="8"/>
        <v>0</v>
      </c>
      <c r="AD15" s="54">
        <f>K15</f>
        <v>300000</v>
      </c>
      <c r="AE15" s="54">
        <f t="shared" si="10"/>
        <v>230769.23076923078</v>
      </c>
      <c r="AF15" s="54">
        <f t="shared" si="11"/>
        <v>384615.38461538462</v>
      </c>
      <c r="AG15" s="54">
        <f t="shared" si="12"/>
        <v>1492307.6923076925</v>
      </c>
      <c r="AH15" s="304">
        <f t="shared" si="13"/>
        <v>8759927.884615384</v>
      </c>
      <c r="AI15" s="254"/>
      <c r="AJ15" s="254"/>
      <c r="AK15" s="254"/>
      <c r="AL15" s="295">
        <v>11000000</v>
      </c>
      <c r="AM15" s="263">
        <f t="shared" si="14"/>
        <v>0</v>
      </c>
      <c r="AN15" s="295">
        <f t="shared" si="15"/>
        <v>11000000</v>
      </c>
      <c r="AO15" s="295">
        <f t="shared" si="16"/>
        <v>-2240072.115384616</v>
      </c>
      <c r="AP15" s="151">
        <f t="shared" si="17"/>
        <v>0</v>
      </c>
      <c r="AQ15" s="54">
        <f t="shared" si="20"/>
        <v>0</v>
      </c>
      <c r="AR15" s="54"/>
      <c r="AS15" s="54"/>
      <c r="AT15" s="54"/>
      <c r="AU15" s="259">
        <f t="shared" si="18"/>
        <v>0</v>
      </c>
      <c r="AV15" s="290">
        <f t="shared" si="19"/>
        <v>8759927.884615384</v>
      </c>
      <c r="AW15" s="57" t="s">
        <v>234</v>
      </c>
      <c r="AX15" s="307"/>
      <c r="AY15" s="307"/>
      <c r="AZ15" s="307"/>
      <c r="BA15" s="307"/>
      <c r="BB15" s="307"/>
      <c r="BC15" s="307"/>
    </row>
    <row r="16" spans="1:55" s="57" customFormat="1" ht="15.75" x14ac:dyDescent="0.25">
      <c r="A16" s="289">
        <v>11</v>
      </c>
      <c r="B16" s="36" t="s">
        <v>109</v>
      </c>
      <c r="C16" s="36"/>
      <c r="D16" s="36" t="s">
        <v>49</v>
      </c>
      <c r="E16" s="58">
        <v>26</v>
      </c>
      <c r="F16" s="54">
        <v>4450000</v>
      </c>
      <c r="G16" s="54">
        <v>500000</v>
      </c>
      <c r="H16" s="54">
        <v>250000</v>
      </c>
      <c r="I16" s="54"/>
      <c r="J16" s="54"/>
      <c r="K16" s="54"/>
      <c r="L16" s="54">
        <v>300000</v>
      </c>
      <c r="M16" s="54">
        <v>500000</v>
      </c>
      <c r="N16" s="54">
        <f>SUM(F16:M16)</f>
        <v>6000000</v>
      </c>
      <c r="O16" s="59">
        <f>+VLOOKUP('Bảng tính lương moi( THUE LD2)'!D16,'Ngày công'!$C$6:$AI$57,33,0)</f>
        <v>20</v>
      </c>
      <c r="P16" s="56">
        <f>+VLOOKUP(D16,'Ngày công'!$C$6:$AN$57,38,0)</f>
        <v>106.85</v>
      </c>
      <c r="Q16" s="55">
        <f>+VLOOKUP('Bảng tính lương moi( THUE LD2)'!D16,'Ngày công'!$C$6:$AO$57,39,0)</f>
        <v>1</v>
      </c>
      <c r="R16" s="55">
        <f>+VLOOKUP(D16,'Ngày công'!$C$6:$AJ$57,34,0)</f>
        <v>0</v>
      </c>
      <c r="S16" s="55"/>
      <c r="T16" s="55">
        <f>'[1]CHẤM CÔNG'!DS17</f>
        <v>0</v>
      </c>
      <c r="U16" s="55"/>
      <c r="V16" s="54">
        <f t="shared" si="1"/>
        <v>3423076.923076923</v>
      </c>
      <c r="W16" s="54">
        <f t="shared" si="2"/>
        <v>2285973.5576923075</v>
      </c>
      <c r="X16" s="54">
        <f t="shared" si="3"/>
        <v>513461.5384615385</v>
      </c>
      <c r="Y16" s="54">
        <f t="shared" si="4"/>
        <v>6222512.0192307681</v>
      </c>
      <c r="Z16" s="54">
        <f t="shared" si="5"/>
        <v>384615.38461538462</v>
      </c>
      <c r="AA16" s="54">
        <f t="shared" si="6"/>
        <v>192307.69230769231</v>
      </c>
      <c r="AB16" s="54">
        <f t="shared" si="7"/>
        <v>0</v>
      </c>
      <c r="AC16" s="54">
        <f t="shared" si="8"/>
        <v>0</v>
      </c>
      <c r="AD16" s="54">
        <f t="shared" si="9"/>
        <v>0</v>
      </c>
      <c r="AE16" s="54">
        <f t="shared" si="10"/>
        <v>230769.23076923078</v>
      </c>
      <c r="AF16" s="54">
        <f t="shared" si="11"/>
        <v>384615.38461538462</v>
      </c>
      <c r="AG16" s="54">
        <f t="shared" si="12"/>
        <v>1192307.6923076925</v>
      </c>
      <c r="AH16" s="304">
        <f t="shared" si="13"/>
        <v>7414819.7115384601</v>
      </c>
      <c r="AI16" s="254"/>
      <c r="AJ16" s="254"/>
      <c r="AK16" s="254"/>
      <c r="AL16" s="295">
        <v>11000000</v>
      </c>
      <c r="AM16" s="263">
        <f t="shared" si="14"/>
        <v>0</v>
      </c>
      <c r="AN16" s="295">
        <f t="shared" si="15"/>
        <v>11000000</v>
      </c>
      <c r="AO16" s="295">
        <f t="shared" si="16"/>
        <v>-3585180.2884615399</v>
      </c>
      <c r="AP16" s="151">
        <f t="shared" si="17"/>
        <v>0</v>
      </c>
      <c r="AQ16" s="54">
        <f t="shared" si="20"/>
        <v>0</v>
      </c>
      <c r="AR16" s="54"/>
      <c r="AS16" s="54"/>
      <c r="AT16" s="54"/>
      <c r="AU16" s="259">
        <f t="shared" si="18"/>
        <v>0</v>
      </c>
      <c r="AV16" s="290">
        <f t="shared" si="19"/>
        <v>7414819.7115384601</v>
      </c>
      <c r="AW16" s="57" t="s">
        <v>237</v>
      </c>
      <c r="AX16" s="307"/>
      <c r="AY16" s="307"/>
      <c r="AZ16" s="307"/>
      <c r="BA16" s="307"/>
      <c r="BB16" s="307"/>
      <c r="BC16" s="307"/>
    </row>
    <row r="17" spans="1:55" s="57" customFormat="1" ht="15.75" x14ac:dyDescent="0.25">
      <c r="A17" s="289">
        <v>12</v>
      </c>
      <c r="B17" s="36" t="s">
        <v>110</v>
      </c>
      <c r="C17" s="36"/>
      <c r="D17" s="36" t="s">
        <v>50</v>
      </c>
      <c r="E17" s="58">
        <v>26</v>
      </c>
      <c r="F17" s="54">
        <v>4450000</v>
      </c>
      <c r="G17" s="54">
        <v>500000</v>
      </c>
      <c r="H17" s="54">
        <v>250000</v>
      </c>
      <c r="I17" s="54">
        <v>500000</v>
      </c>
      <c r="J17" s="54"/>
      <c r="K17" s="54"/>
      <c r="L17" s="54">
        <v>300000</v>
      </c>
      <c r="M17" s="54">
        <v>500000</v>
      </c>
      <c r="N17" s="54">
        <f t="shared" si="0"/>
        <v>6500000</v>
      </c>
      <c r="O17" s="59">
        <f>+VLOOKUP('Bảng tính lương moi( THUE LD2)'!D17,'Ngày công'!$C$6:$AI$57,33,0)</f>
        <v>19</v>
      </c>
      <c r="P17" s="56">
        <f>+VLOOKUP(D17,'Ngày công'!$C$6:$AN$57,38,0)</f>
        <v>133.25</v>
      </c>
      <c r="Q17" s="55">
        <f>+VLOOKUP('Bảng tính lương moi( THUE LD2)'!D17,'Ngày công'!$C$6:$AO$57,39,0)</f>
        <v>1</v>
      </c>
      <c r="R17" s="55">
        <f>+VLOOKUP(D17,'Ngày công'!$C$6:$AJ$57,34,0)</f>
        <v>1</v>
      </c>
      <c r="S17" s="55"/>
      <c r="T17" s="55">
        <f>'[1]CHẤM CÔNG'!DS18</f>
        <v>0</v>
      </c>
      <c r="U17" s="55"/>
      <c r="V17" s="54">
        <f t="shared" si="1"/>
        <v>3251923.076923077</v>
      </c>
      <c r="W17" s="54">
        <f t="shared" si="2"/>
        <v>2850781.25</v>
      </c>
      <c r="X17" s="54">
        <f t="shared" si="3"/>
        <v>513461.5384615385</v>
      </c>
      <c r="Y17" s="54">
        <f t="shared" si="4"/>
        <v>6616165.865384616</v>
      </c>
      <c r="Z17" s="54">
        <f t="shared" si="5"/>
        <v>365384.61538461538</v>
      </c>
      <c r="AA17" s="54">
        <f t="shared" si="6"/>
        <v>182692.30769230769</v>
      </c>
      <c r="AB17" s="54">
        <f>I17/E17*O17</f>
        <v>365384.61538461538</v>
      </c>
      <c r="AC17" s="54">
        <f t="shared" si="8"/>
        <v>0</v>
      </c>
      <c r="AD17" s="54">
        <f t="shared" si="9"/>
        <v>0</v>
      </c>
      <c r="AE17" s="54">
        <f t="shared" si="10"/>
        <v>219230.76923076925</v>
      </c>
      <c r="AF17" s="54">
        <f t="shared" si="11"/>
        <v>365384.61538461538</v>
      </c>
      <c r="AG17" s="54">
        <f t="shared" si="12"/>
        <v>1498076.923076923</v>
      </c>
      <c r="AH17" s="304">
        <f t="shared" si="13"/>
        <v>8114242.788461539</v>
      </c>
      <c r="AI17" s="254"/>
      <c r="AJ17" s="254"/>
      <c r="AK17" s="254"/>
      <c r="AL17" s="295">
        <v>11000000</v>
      </c>
      <c r="AM17" s="263">
        <f t="shared" si="14"/>
        <v>0</v>
      </c>
      <c r="AN17" s="295">
        <f t="shared" si="15"/>
        <v>11000000</v>
      </c>
      <c r="AO17" s="295">
        <f t="shared" si="16"/>
        <v>-2885757.211538461</v>
      </c>
      <c r="AP17" s="151">
        <f t="shared" si="17"/>
        <v>0</v>
      </c>
      <c r="AQ17" s="54">
        <f t="shared" si="20"/>
        <v>0</v>
      </c>
      <c r="AR17" s="54"/>
      <c r="AS17" s="54"/>
      <c r="AT17" s="54"/>
      <c r="AU17" s="259">
        <f t="shared" si="18"/>
        <v>0</v>
      </c>
      <c r="AV17" s="290">
        <f t="shared" si="19"/>
        <v>8114242.788461539</v>
      </c>
      <c r="AX17" s="307"/>
      <c r="AY17" s="307"/>
      <c r="AZ17" s="307"/>
      <c r="BA17" s="307"/>
      <c r="BB17" s="307"/>
      <c r="BC17" s="307"/>
    </row>
    <row r="18" spans="1:55" s="57" customFormat="1" ht="15.75" x14ac:dyDescent="0.25">
      <c r="A18" s="289">
        <v>13</v>
      </c>
      <c r="B18" s="36" t="s">
        <v>111</v>
      </c>
      <c r="C18" s="36"/>
      <c r="D18" s="36" t="s">
        <v>51</v>
      </c>
      <c r="E18" s="58">
        <v>26</v>
      </c>
      <c r="F18" s="54">
        <v>4450000</v>
      </c>
      <c r="G18" s="54">
        <v>500000</v>
      </c>
      <c r="H18" s="54">
        <v>250000</v>
      </c>
      <c r="I18" s="54"/>
      <c r="J18" s="54"/>
      <c r="K18" s="54"/>
      <c r="L18" s="54">
        <v>300000</v>
      </c>
      <c r="M18" s="54">
        <v>500000</v>
      </c>
      <c r="N18" s="54">
        <f t="shared" si="0"/>
        <v>6000000</v>
      </c>
      <c r="O18" s="59">
        <f>+VLOOKUP('Bảng tính lương moi( THUE LD2)'!D18,'Ngày công'!$C$6:$AI$57,33,0)</f>
        <v>18</v>
      </c>
      <c r="P18" s="56">
        <f>+VLOOKUP(D18,'Ngày công'!$C$6:$AN$57,38,0)</f>
        <v>112.85</v>
      </c>
      <c r="Q18" s="55">
        <f>+VLOOKUP('Bảng tính lương moi( THUE LD2)'!D18,'Ngày công'!$C$6:$AO$57,39,0)</f>
        <v>0</v>
      </c>
      <c r="R18" s="55">
        <f>+VLOOKUP(D18,'Ngày công'!$C$6:$AJ$57,34,0)</f>
        <v>1</v>
      </c>
      <c r="S18" s="55"/>
      <c r="T18" s="55">
        <f>'[1]CHẤM CÔNG'!DS19</f>
        <v>0</v>
      </c>
      <c r="U18" s="55"/>
      <c r="V18" s="54">
        <f t="shared" si="1"/>
        <v>3080769.230769231</v>
      </c>
      <c r="W18" s="54">
        <f t="shared" si="2"/>
        <v>2414338.942307692</v>
      </c>
      <c r="X18" s="54">
        <f t="shared" si="3"/>
        <v>0</v>
      </c>
      <c r="Y18" s="54">
        <f t="shared" si="4"/>
        <v>5495108.173076923</v>
      </c>
      <c r="Z18" s="54">
        <f t="shared" si="5"/>
        <v>346153.84615384613</v>
      </c>
      <c r="AA18" s="54">
        <f t="shared" si="6"/>
        <v>173076.92307692306</v>
      </c>
      <c r="AB18" s="54">
        <f t="shared" si="7"/>
        <v>0</v>
      </c>
      <c r="AC18" s="54">
        <f t="shared" si="8"/>
        <v>0</v>
      </c>
      <c r="AD18" s="54">
        <f t="shared" si="9"/>
        <v>0</v>
      </c>
      <c r="AE18" s="54">
        <f t="shared" si="10"/>
        <v>207692.30769230769</v>
      </c>
      <c r="AF18" s="54">
        <f t="shared" si="11"/>
        <v>346153.84615384613</v>
      </c>
      <c r="AG18" s="54">
        <f t="shared" si="12"/>
        <v>1073076.923076923</v>
      </c>
      <c r="AH18" s="304">
        <f t="shared" si="13"/>
        <v>6568185.096153846</v>
      </c>
      <c r="AI18" s="254"/>
      <c r="AJ18" s="254"/>
      <c r="AK18" s="254"/>
      <c r="AL18" s="295">
        <v>11000000</v>
      </c>
      <c r="AM18" s="263">
        <f t="shared" si="14"/>
        <v>0</v>
      </c>
      <c r="AN18" s="295">
        <f t="shared" si="15"/>
        <v>11000000</v>
      </c>
      <c r="AO18" s="295">
        <f t="shared" si="16"/>
        <v>-4431814.903846154</v>
      </c>
      <c r="AP18" s="151">
        <f t="shared" si="17"/>
        <v>0</v>
      </c>
      <c r="AQ18" s="54">
        <f t="shared" si="20"/>
        <v>0</v>
      </c>
      <c r="AR18" s="54"/>
      <c r="AS18" s="54"/>
      <c r="AT18" s="54"/>
      <c r="AU18" s="259">
        <f t="shared" si="18"/>
        <v>0</v>
      </c>
      <c r="AV18" s="290">
        <f t="shared" si="19"/>
        <v>6568185.096153846</v>
      </c>
      <c r="AW18" s="57" t="s">
        <v>215</v>
      </c>
      <c r="AX18" s="307"/>
      <c r="AY18" s="307"/>
      <c r="AZ18" s="307"/>
      <c r="BA18" s="307"/>
      <c r="BB18" s="307"/>
      <c r="BC18" s="307"/>
    </row>
    <row r="19" spans="1:55" s="57" customFormat="1" ht="15" customHeight="1" x14ac:dyDescent="0.25">
      <c r="A19" s="289">
        <v>14</v>
      </c>
      <c r="B19" s="36" t="s">
        <v>112</v>
      </c>
      <c r="C19" s="36"/>
      <c r="D19" s="36" t="s">
        <v>52</v>
      </c>
      <c r="E19" s="58">
        <v>26</v>
      </c>
      <c r="F19" s="54">
        <v>4450000</v>
      </c>
      <c r="G19" s="54">
        <v>500000</v>
      </c>
      <c r="H19" s="54">
        <v>250000</v>
      </c>
      <c r="I19" s="54"/>
      <c r="J19" s="54"/>
      <c r="K19" s="54">
        <v>300000</v>
      </c>
      <c r="L19" s="54">
        <v>300000</v>
      </c>
      <c r="M19" s="54">
        <v>500000</v>
      </c>
      <c r="N19" s="54">
        <f t="shared" si="0"/>
        <v>6300000</v>
      </c>
      <c r="O19" s="59">
        <f>+VLOOKUP('Bảng tính lương moi( THUE LD2)'!D19,'Ngày công'!$C$6:$AI$57,33,0)</f>
        <v>20</v>
      </c>
      <c r="P19" s="56">
        <f>+VLOOKUP(D19,'Ngày công'!$C$6:$AN$57,38,0)</f>
        <v>123</v>
      </c>
      <c r="Q19" s="55">
        <f>+VLOOKUP('Bảng tính lương moi( THUE LD2)'!D19,'Ngày công'!$C$6:$AO$57,39,0)</f>
        <v>1</v>
      </c>
      <c r="R19" s="55">
        <f>+VLOOKUP(D19,'Ngày công'!$C$6:$AJ$57,34,0)</f>
        <v>0</v>
      </c>
      <c r="S19" s="55"/>
      <c r="T19" s="55">
        <f>'[1]CHẤM CÔNG'!DS20</f>
        <v>0</v>
      </c>
      <c r="U19" s="55"/>
      <c r="V19" s="54">
        <f t="shared" si="1"/>
        <v>3423076.923076923</v>
      </c>
      <c r="W19" s="54">
        <f t="shared" si="2"/>
        <v>2631490.3846153845</v>
      </c>
      <c r="X19" s="54">
        <f t="shared" si="3"/>
        <v>513461.5384615385</v>
      </c>
      <c r="Y19" s="54">
        <f t="shared" si="4"/>
        <v>6568028.846153846</v>
      </c>
      <c r="Z19" s="54">
        <f t="shared" si="5"/>
        <v>384615.38461538462</v>
      </c>
      <c r="AA19" s="54">
        <f t="shared" si="6"/>
        <v>192307.69230769231</v>
      </c>
      <c r="AB19" s="54">
        <f t="shared" si="7"/>
        <v>0</v>
      </c>
      <c r="AC19" s="54">
        <f t="shared" si="8"/>
        <v>0</v>
      </c>
      <c r="AD19" s="54">
        <f t="shared" si="9"/>
        <v>300000</v>
      </c>
      <c r="AE19" s="54">
        <f t="shared" si="10"/>
        <v>230769.23076923078</v>
      </c>
      <c r="AF19" s="54">
        <f t="shared" si="11"/>
        <v>384615.38461538462</v>
      </c>
      <c r="AG19" s="54">
        <f t="shared" si="12"/>
        <v>1492307.6923076925</v>
      </c>
      <c r="AH19" s="304">
        <f t="shared" si="13"/>
        <v>8060336.538461538</v>
      </c>
      <c r="AI19" s="254"/>
      <c r="AJ19" s="254"/>
      <c r="AK19" s="254"/>
      <c r="AL19" s="295">
        <v>11000000</v>
      </c>
      <c r="AM19" s="263">
        <f t="shared" si="14"/>
        <v>0</v>
      </c>
      <c r="AN19" s="295">
        <f t="shared" si="15"/>
        <v>11000000</v>
      </c>
      <c r="AO19" s="295">
        <f t="shared" si="16"/>
        <v>-2939663.461538462</v>
      </c>
      <c r="AP19" s="151">
        <f t="shared" si="17"/>
        <v>0</v>
      </c>
      <c r="AQ19" s="54">
        <f t="shared" si="20"/>
        <v>0</v>
      </c>
      <c r="AR19" s="54"/>
      <c r="AS19" s="54"/>
      <c r="AT19" s="54"/>
      <c r="AU19" s="259">
        <f t="shared" si="18"/>
        <v>0</v>
      </c>
      <c r="AV19" s="290">
        <f t="shared" si="19"/>
        <v>8060336.538461538</v>
      </c>
      <c r="AW19" s="57" t="s">
        <v>214</v>
      </c>
      <c r="AX19" s="307"/>
      <c r="AY19" s="307"/>
      <c r="AZ19" s="307"/>
      <c r="BA19" s="307"/>
      <c r="BB19" s="307"/>
      <c r="BC19" s="307"/>
    </row>
    <row r="20" spans="1:55" s="57" customFormat="1" ht="15.75" x14ac:dyDescent="0.25">
      <c r="A20" s="289">
        <v>15</v>
      </c>
      <c r="B20" s="36" t="s">
        <v>113</v>
      </c>
      <c r="C20" s="36"/>
      <c r="D20" s="36" t="s">
        <v>53</v>
      </c>
      <c r="E20" s="58">
        <v>26</v>
      </c>
      <c r="F20" s="54">
        <v>4450000</v>
      </c>
      <c r="G20" s="54">
        <v>500000</v>
      </c>
      <c r="H20" s="54">
        <v>250000</v>
      </c>
      <c r="I20" s="54"/>
      <c r="J20" s="54"/>
      <c r="K20" s="54"/>
      <c r="L20" s="54">
        <v>300000</v>
      </c>
      <c r="M20" s="54">
        <v>500000</v>
      </c>
      <c r="N20" s="54">
        <f t="shared" si="0"/>
        <v>6000000</v>
      </c>
      <c r="O20" s="59">
        <f>+VLOOKUP('Bảng tính lương moi( THUE LD2)'!D20,'Ngày công'!$C$6:$AI$57,33,0)</f>
        <v>18.5</v>
      </c>
      <c r="P20" s="56">
        <f>+VLOOKUP(D20,'Ngày công'!$C$6:$AN$57,38,0)</f>
        <v>22.5</v>
      </c>
      <c r="Q20" s="55">
        <f>+VLOOKUP('Bảng tính lương moi( THUE LD2)'!D20,'Ngày công'!$C$6:$AO$57,39,0)</f>
        <v>0</v>
      </c>
      <c r="R20" s="55">
        <f>+VLOOKUP(D20,'Ngày công'!$C$6:$AJ$57,34,0)</f>
        <v>0</v>
      </c>
      <c r="S20" s="55"/>
      <c r="T20" s="55">
        <f>'[1]CHẤM CÔNG'!DS21</f>
        <v>0</v>
      </c>
      <c r="U20" s="55"/>
      <c r="V20" s="54">
        <f t="shared" si="1"/>
        <v>3166346.153846154</v>
      </c>
      <c r="W20" s="54">
        <f t="shared" si="2"/>
        <v>481370.19230769231</v>
      </c>
      <c r="X20" s="54">
        <f t="shared" si="3"/>
        <v>0</v>
      </c>
      <c r="Y20" s="54">
        <f t="shared" si="4"/>
        <v>3647716.3461538465</v>
      </c>
      <c r="Z20" s="54">
        <f t="shared" si="5"/>
        <v>355769.23076923075</v>
      </c>
      <c r="AA20" s="54">
        <f t="shared" si="6"/>
        <v>177884.61538461538</v>
      </c>
      <c r="AB20" s="54">
        <f t="shared" si="7"/>
        <v>0</v>
      </c>
      <c r="AC20" s="54">
        <f t="shared" si="8"/>
        <v>0</v>
      </c>
      <c r="AD20" s="54">
        <f t="shared" si="9"/>
        <v>0</v>
      </c>
      <c r="AE20" s="54">
        <f t="shared" si="10"/>
        <v>213461.53846153847</v>
      </c>
      <c r="AF20" s="54">
        <f t="shared" si="11"/>
        <v>355769.23076923075</v>
      </c>
      <c r="AG20" s="54">
        <f t="shared" si="12"/>
        <v>1102884.6153846155</v>
      </c>
      <c r="AH20" s="304">
        <f t="shared" si="13"/>
        <v>4750600.961538462</v>
      </c>
      <c r="AI20" s="254"/>
      <c r="AJ20" s="254"/>
      <c r="AK20" s="254"/>
      <c r="AL20" s="295">
        <v>11000000</v>
      </c>
      <c r="AM20" s="263">
        <f t="shared" si="14"/>
        <v>0</v>
      </c>
      <c r="AN20" s="295">
        <f t="shared" si="15"/>
        <v>11000000</v>
      </c>
      <c r="AO20" s="295">
        <f t="shared" si="16"/>
        <v>-6249399.038461538</v>
      </c>
      <c r="AP20" s="151">
        <f t="shared" si="17"/>
        <v>0</v>
      </c>
      <c r="AQ20" s="54">
        <f t="shared" si="20"/>
        <v>0</v>
      </c>
      <c r="AR20" s="54"/>
      <c r="AS20" s="54"/>
      <c r="AT20" s="54"/>
      <c r="AU20" s="259">
        <f t="shared" si="18"/>
        <v>0</v>
      </c>
      <c r="AV20" s="290">
        <f t="shared" si="19"/>
        <v>4750600.961538462</v>
      </c>
      <c r="AW20" s="57" t="s">
        <v>239</v>
      </c>
      <c r="AX20" s="307"/>
      <c r="AY20" s="307"/>
      <c r="AZ20" s="307"/>
      <c r="BA20" s="307"/>
      <c r="BB20" s="307"/>
      <c r="BC20" s="307"/>
    </row>
    <row r="21" spans="1:55" s="57" customFormat="1" ht="15.75" x14ac:dyDescent="0.25">
      <c r="A21" s="289">
        <v>16</v>
      </c>
      <c r="B21" s="36" t="s">
        <v>114</v>
      </c>
      <c r="C21" s="36"/>
      <c r="D21" s="36" t="s">
        <v>54</v>
      </c>
      <c r="E21" s="58">
        <v>26</v>
      </c>
      <c r="F21" s="54">
        <v>4450000</v>
      </c>
      <c r="G21" s="54">
        <v>500000</v>
      </c>
      <c r="H21" s="54">
        <v>250000</v>
      </c>
      <c r="I21" s="54">
        <v>500000</v>
      </c>
      <c r="J21" s="54"/>
      <c r="K21" s="54"/>
      <c r="L21" s="54">
        <v>300000</v>
      </c>
      <c r="M21" s="54">
        <v>500000</v>
      </c>
      <c r="N21" s="54">
        <f t="shared" si="0"/>
        <v>6500000</v>
      </c>
      <c r="O21" s="59">
        <f>+VLOOKUP('Bảng tính lương moi( THUE LD2)'!D21,'Ngày công'!$C$6:$AI$57,33,0)</f>
        <v>10.5</v>
      </c>
      <c r="P21" s="56">
        <f>+VLOOKUP(D21,'Ngày công'!$C$6:$AN$57,38,0)</f>
        <v>99.05</v>
      </c>
      <c r="Q21" s="55">
        <f>+VLOOKUP('Bảng tính lương moi( THUE LD2)'!D21,'Ngày công'!$C$6:$AO$57,39,0)</f>
        <v>1</v>
      </c>
      <c r="R21" s="55">
        <f>+VLOOKUP(D21,'Ngày công'!$C$6:$AJ$57,34,0)</f>
        <v>9</v>
      </c>
      <c r="S21" s="55"/>
      <c r="T21" s="55">
        <f>'[1]CHẤM CÔNG'!DS22</f>
        <v>0</v>
      </c>
      <c r="U21" s="55"/>
      <c r="V21" s="54">
        <f t="shared" si="1"/>
        <v>1797115.3846153847</v>
      </c>
      <c r="W21" s="54">
        <f t="shared" si="2"/>
        <v>2119098.5576923075</v>
      </c>
      <c r="X21" s="54">
        <f t="shared" si="3"/>
        <v>513461.5384615385</v>
      </c>
      <c r="Y21" s="54">
        <f t="shared" si="4"/>
        <v>4429675.4807692301</v>
      </c>
      <c r="Z21" s="54">
        <f t="shared" si="5"/>
        <v>201923.07692307691</v>
      </c>
      <c r="AA21" s="54">
        <f t="shared" si="6"/>
        <v>100961.53846153845</v>
      </c>
      <c r="AB21" s="54">
        <f>I21/E21*O21</f>
        <v>201923.07692307691</v>
      </c>
      <c r="AC21" s="54">
        <f t="shared" si="8"/>
        <v>0</v>
      </c>
      <c r="AD21" s="54">
        <f t="shared" si="9"/>
        <v>0</v>
      </c>
      <c r="AE21" s="54">
        <f t="shared" si="10"/>
        <v>121153.84615384616</v>
      </c>
      <c r="AF21" s="54">
        <f t="shared" si="11"/>
        <v>201923.07692307691</v>
      </c>
      <c r="AG21" s="54">
        <f t="shared" si="12"/>
        <v>827884.61538461526</v>
      </c>
      <c r="AH21" s="304">
        <f t="shared" si="13"/>
        <v>5257560.0961538451</v>
      </c>
      <c r="AI21" s="254"/>
      <c r="AJ21" s="254"/>
      <c r="AK21" s="254"/>
      <c r="AL21" s="295">
        <v>11000000</v>
      </c>
      <c r="AM21" s="263">
        <f t="shared" si="14"/>
        <v>0</v>
      </c>
      <c r="AN21" s="295">
        <f t="shared" si="15"/>
        <v>11000000</v>
      </c>
      <c r="AO21" s="295">
        <f t="shared" si="16"/>
        <v>-5742439.9038461549</v>
      </c>
      <c r="AP21" s="151">
        <f t="shared" si="17"/>
        <v>0</v>
      </c>
      <c r="AQ21" s="54">
        <f t="shared" si="20"/>
        <v>0</v>
      </c>
      <c r="AR21" s="54"/>
      <c r="AS21" s="54"/>
      <c r="AT21" s="54"/>
      <c r="AU21" s="259">
        <f t="shared" si="18"/>
        <v>0</v>
      </c>
      <c r="AV21" s="290">
        <f t="shared" si="19"/>
        <v>5257560.0961538451</v>
      </c>
      <c r="AW21" s="57" t="s">
        <v>238</v>
      </c>
      <c r="AX21" s="307"/>
      <c r="AY21" s="307"/>
      <c r="AZ21" s="307"/>
      <c r="BA21" s="307"/>
      <c r="BB21" s="307"/>
      <c r="BC21" s="307"/>
    </row>
    <row r="22" spans="1:55" s="67" customFormat="1" ht="15.75" x14ac:dyDescent="0.25">
      <c r="A22" s="291">
        <v>17</v>
      </c>
      <c r="B22" s="50" t="s">
        <v>115</v>
      </c>
      <c r="C22" s="50"/>
      <c r="D22" s="50" t="s">
        <v>55</v>
      </c>
      <c r="E22" s="63">
        <v>26</v>
      </c>
      <c r="F22" s="64">
        <v>4450000</v>
      </c>
      <c r="G22" s="64"/>
      <c r="H22" s="64"/>
      <c r="I22" s="64"/>
      <c r="J22" s="64"/>
      <c r="K22" s="64"/>
      <c r="L22" s="64"/>
      <c r="M22" s="64"/>
      <c r="N22" s="64">
        <f t="shared" si="0"/>
        <v>4450000</v>
      </c>
      <c r="O22" s="59">
        <f>+VLOOKUP('Bảng tính lương moi( THUE LD2)'!D22,'Ngày công'!$C$6:$AI$57,33,0)</f>
        <v>1.5</v>
      </c>
      <c r="P22" s="56">
        <f>+VLOOKUP(D22,'Ngày công'!$C$6:$AN$57,38,0)</f>
        <v>0</v>
      </c>
      <c r="Q22" s="55">
        <f>+VLOOKUP('Bảng tính lương moi( THUE LD2)'!D22,'Ngày công'!$C$6:$AO$57,39,0)</f>
        <v>0</v>
      </c>
      <c r="R22" s="55">
        <f>+VLOOKUP(D22,'Ngày công'!$C$6:$AJ$57,34,0)</f>
        <v>0</v>
      </c>
      <c r="S22" s="65"/>
      <c r="T22" s="65">
        <f>'[1]CHẤM CÔNG'!DS23</f>
        <v>1</v>
      </c>
      <c r="U22" s="65"/>
      <c r="V22" s="64">
        <f t="shared" si="1"/>
        <v>256730.76923076925</v>
      </c>
      <c r="W22" s="64">
        <f t="shared" si="2"/>
        <v>0</v>
      </c>
      <c r="X22" s="64">
        <f t="shared" si="3"/>
        <v>0</v>
      </c>
      <c r="Y22" s="64">
        <f t="shared" si="4"/>
        <v>256730.76923076925</v>
      </c>
      <c r="Z22" s="64">
        <f t="shared" si="5"/>
        <v>0</v>
      </c>
      <c r="AA22" s="64">
        <f t="shared" si="6"/>
        <v>0</v>
      </c>
      <c r="AB22" s="64">
        <f t="shared" si="7"/>
        <v>0</v>
      </c>
      <c r="AC22" s="64">
        <f t="shared" si="8"/>
        <v>0</v>
      </c>
      <c r="AD22" s="64">
        <f t="shared" si="9"/>
        <v>0</v>
      </c>
      <c r="AE22" s="64">
        <f t="shared" si="10"/>
        <v>0</v>
      </c>
      <c r="AF22" s="64">
        <f t="shared" si="11"/>
        <v>0</v>
      </c>
      <c r="AG22" s="64">
        <f t="shared" si="12"/>
        <v>0</v>
      </c>
      <c r="AH22" s="304">
        <f t="shared" si="13"/>
        <v>256730.76923076925</v>
      </c>
      <c r="AI22" s="254"/>
      <c r="AJ22" s="254"/>
      <c r="AK22" s="254"/>
      <c r="AL22" s="295">
        <v>11000000</v>
      </c>
      <c r="AM22" s="263">
        <f t="shared" si="14"/>
        <v>0</v>
      </c>
      <c r="AN22" s="295">
        <f t="shared" si="15"/>
        <v>11000000</v>
      </c>
      <c r="AO22" s="295">
        <f t="shared" si="16"/>
        <v>-10743269.23076923</v>
      </c>
      <c r="AP22" s="151">
        <f t="shared" si="17"/>
        <v>0</v>
      </c>
      <c r="AQ22" s="64">
        <f>F22/E22/8*T22</f>
        <v>21394.23076923077</v>
      </c>
      <c r="AR22" s="64"/>
      <c r="AS22" s="64"/>
      <c r="AT22" s="64"/>
      <c r="AU22" s="259">
        <f t="shared" si="18"/>
        <v>21394.23076923077</v>
      </c>
      <c r="AV22" s="292">
        <f t="shared" si="19"/>
        <v>235336.53846153847</v>
      </c>
      <c r="AX22" s="308"/>
      <c r="AY22" s="308"/>
      <c r="AZ22" s="308"/>
      <c r="BA22" s="308"/>
      <c r="BB22" s="308"/>
      <c r="BC22" s="308"/>
    </row>
    <row r="23" spans="1:55" s="67" customFormat="1" ht="15.75" x14ac:dyDescent="0.25">
      <c r="A23" s="291">
        <v>18</v>
      </c>
      <c r="B23" s="50" t="s">
        <v>116</v>
      </c>
      <c r="C23" s="50"/>
      <c r="D23" s="50" t="s">
        <v>56</v>
      </c>
      <c r="E23" s="63">
        <v>26</v>
      </c>
      <c r="F23" s="64">
        <v>4450000</v>
      </c>
      <c r="G23" s="64"/>
      <c r="H23" s="64"/>
      <c r="I23" s="64"/>
      <c r="J23" s="64"/>
      <c r="K23" s="64"/>
      <c r="L23" s="64"/>
      <c r="M23" s="64"/>
      <c r="N23" s="64">
        <f>SUM(F23:M23)</f>
        <v>4450000</v>
      </c>
      <c r="O23" s="59">
        <f>+VLOOKUP('Bảng tính lương moi( THUE LD2)'!D23,'Ngày công'!$C$6:$AI$57,33,0)</f>
        <v>3</v>
      </c>
      <c r="P23" s="56">
        <f>+VLOOKUP(D23,'Ngày công'!$C$6:$AN$57,38,0)</f>
        <v>3</v>
      </c>
      <c r="Q23" s="55">
        <f>+VLOOKUP('Bảng tính lương moi( THUE LD2)'!D23,'Ngày công'!$C$6:$AO$57,39,0)</f>
        <v>0</v>
      </c>
      <c r="R23" s="55">
        <f>+VLOOKUP(D23,'Ngày công'!$C$6:$AJ$57,34,0)</f>
        <v>0</v>
      </c>
      <c r="S23" s="65"/>
      <c r="T23" s="65">
        <f>'[1]CHẤM CÔNG'!DS24</f>
        <v>0</v>
      </c>
      <c r="U23" s="65"/>
      <c r="V23" s="64">
        <f t="shared" si="1"/>
        <v>513461.5384615385</v>
      </c>
      <c r="W23" s="64">
        <f t="shared" si="2"/>
        <v>64182.692307692312</v>
      </c>
      <c r="X23" s="64">
        <f t="shared" si="3"/>
        <v>0</v>
      </c>
      <c r="Y23" s="64">
        <f t="shared" si="4"/>
        <v>577644.23076923075</v>
      </c>
      <c r="Z23" s="64">
        <f t="shared" si="5"/>
        <v>0</v>
      </c>
      <c r="AA23" s="64">
        <f t="shared" si="6"/>
        <v>0</v>
      </c>
      <c r="AB23" s="64">
        <f t="shared" si="7"/>
        <v>0</v>
      </c>
      <c r="AC23" s="64">
        <f t="shared" si="8"/>
        <v>0</v>
      </c>
      <c r="AD23" s="64">
        <f t="shared" si="9"/>
        <v>0</v>
      </c>
      <c r="AE23" s="64">
        <f t="shared" si="10"/>
        <v>0</v>
      </c>
      <c r="AF23" s="64">
        <f t="shared" si="11"/>
        <v>0</v>
      </c>
      <c r="AG23" s="64">
        <f t="shared" si="12"/>
        <v>0</v>
      </c>
      <c r="AH23" s="304">
        <f t="shared" si="13"/>
        <v>577644.23076923075</v>
      </c>
      <c r="AI23" s="254"/>
      <c r="AJ23" s="254"/>
      <c r="AK23" s="254"/>
      <c r="AL23" s="295">
        <v>11000000</v>
      </c>
      <c r="AM23" s="263">
        <f t="shared" si="14"/>
        <v>0</v>
      </c>
      <c r="AN23" s="295">
        <f t="shared" si="15"/>
        <v>11000000</v>
      </c>
      <c r="AO23" s="295">
        <f t="shared" si="16"/>
        <v>-10422355.76923077</v>
      </c>
      <c r="AP23" s="151">
        <f t="shared" si="17"/>
        <v>0</v>
      </c>
      <c r="AQ23" s="64">
        <f t="shared" si="20"/>
        <v>0</v>
      </c>
      <c r="AR23" s="64"/>
      <c r="AS23" s="64"/>
      <c r="AT23" s="64"/>
      <c r="AU23" s="259">
        <f t="shared" si="18"/>
        <v>0</v>
      </c>
      <c r="AV23" s="292">
        <f t="shared" si="19"/>
        <v>577644.23076923075</v>
      </c>
      <c r="AX23" s="308"/>
      <c r="AY23" s="308"/>
      <c r="AZ23" s="308"/>
      <c r="BA23" s="308"/>
      <c r="BB23" s="308"/>
      <c r="BC23" s="308"/>
    </row>
    <row r="24" spans="1:55" s="67" customFormat="1" ht="15.75" x14ac:dyDescent="0.25">
      <c r="A24" s="291">
        <v>19</v>
      </c>
      <c r="B24" s="50" t="s">
        <v>117</v>
      </c>
      <c r="C24" s="50"/>
      <c r="D24" s="50" t="s">
        <v>57</v>
      </c>
      <c r="E24" s="63">
        <v>26</v>
      </c>
      <c r="F24" s="64">
        <v>4450000</v>
      </c>
      <c r="G24" s="64"/>
      <c r="H24" s="64"/>
      <c r="I24" s="64"/>
      <c r="J24" s="64"/>
      <c r="K24" s="64"/>
      <c r="L24" s="64"/>
      <c r="M24" s="64"/>
      <c r="N24" s="64">
        <f t="shared" si="0"/>
        <v>4450000</v>
      </c>
      <c r="O24" s="59">
        <f>+VLOOKUP('Bảng tính lương moi( THUE LD2)'!D24,'Ngày công'!$C$6:$AI$57,33,0)</f>
        <v>3.5</v>
      </c>
      <c r="P24" s="56">
        <f>+VLOOKUP(D24,'Ngày công'!$C$6:$AN$57,38,0)</f>
        <v>2.25</v>
      </c>
      <c r="Q24" s="55">
        <f>+VLOOKUP('Bảng tính lương moi( THUE LD2)'!D24,'Ngày công'!$C$6:$AO$57,39,0)</f>
        <v>0</v>
      </c>
      <c r="R24" s="55">
        <f>+VLOOKUP(D24,'Ngày công'!$C$6:$AJ$57,34,0)</f>
        <v>0</v>
      </c>
      <c r="S24" s="65"/>
      <c r="T24" s="65">
        <f>'[1]CHẤM CÔNG'!DS25</f>
        <v>0</v>
      </c>
      <c r="U24" s="65"/>
      <c r="V24" s="64">
        <f t="shared" si="1"/>
        <v>599038.4615384615</v>
      </c>
      <c r="W24" s="64">
        <f t="shared" si="2"/>
        <v>48137.019230769234</v>
      </c>
      <c r="X24" s="64">
        <f t="shared" si="3"/>
        <v>0</v>
      </c>
      <c r="Y24" s="64">
        <f t="shared" si="4"/>
        <v>647175.48076923075</v>
      </c>
      <c r="Z24" s="64">
        <f t="shared" si="5"/>
        <v>0</v>
      </c>
      <c r="AA24" s="64">
        <f t="shared" si="6"/>
        <v>0</v>
      </c>
      <c r="AB24" s="64">
        <f t="shared" si="7"/>
        <v>0</v>
      </c>
      <c r="AC24" s="64">
        <f t="shared" si="8"/>
        <v>0</v>
      </c>
      <c r="AD24" s="64">
        <f t="shared" si="9"/>
        <v>0</v>
      </c>
      <c r="AE24" s="64">
        <f t="shared" si="10"/>
        <v>0</v>
      </c>
      <c r="AF24" s="64">
        <f t="shared" si="11"/>
        <v>0</v>
      </c>
      <c r="AG24" s="64">
        <f t="shared" si="12"/>
        <v>0</v>
      </c>
      <c r="AH24" s="304">
        <f t="shared" si="13"/>
        <v>647175.48076923075</v>
      </c>
      <c r="AI24" s="254"/>
      <c r="AJ24" s="254"/>
      <c r="AK24" s="254"/>
      <c r="AL24" s="295">
        <v>11000000</v>
      </c>
      <c r="AM24" s="263">
        <f t="shared" si="14"/>
        <v>0</v>
      </c>
      <c r="AN24" s="295">
        <f t="shared" si="15"/>
        <v>11000000</v>
      </c>
      <c r="AO24" s="295">
        <f t="shared" si="16"/>
        <v>-10352824.51923077</v>
      </c>
      <c r="AP24" s="151">
        <f t="shared" si="17"/>
        <v>0</v>
      </c>
      <c r="AQ24" s="64">
        <f t="shared" si="20"/>
        <v>0</v>
      </c>
      <c r="AR24" s="64"/>
      <c r="AS24" s="64"/>
      <c r="AT24" s="64"/>
      <c r="AU24" s="259">
        <f t="shared" si="18"/>
        <v>0</v>
      </c>
      <c r="AV24" s="292">
        <f t="shared" si="19"/>
        <v>647175.48076923075</v>
      </c>
      <c r="AX24" s="308"/>
      <c r="AY24" s="308"/>
      <c r="AZ24" s="308"/>
      <c r="BA24" s="308"/>
      <c r="BB24" s="308"/>
      <c r="BC24" s="308"/>
    </row>
    <row r="25" spans="1:55" s="57" customFormat="1" ht="15.75" x14ac:dyDescent="0.25">
      <c r="A25" s="289">
        <v>20</v>
      </c>
      <c r="B25" s="36" t="s">
        <v>118</v>
      </c>
      <c r="C25" s="36"/>
      <c r="D25" s="36" t="s">
        <v>58</v>
      </c>
      <c r="E25" s="58">
        <v>26</v>
      </c>
      <c r="F25" s="54">
        <v>4450000</v>
      </c>
      <c r="G25" s="54">
        <v>500000</v>
      </c>
      <c r="H25" s="54">
        <v>250000</v>
      </c>
      <c r="I25" s="54"/>
      <c r="J25" s="54"/>
      <c r="K25" s="54"/>
      <c r="L25" s="54">
        <v>300000</v>
      </c>
      <c r="M25" s="54">
        <v>500000</v>
      </c>
      <c r="N25" s="54">
        <f t="shared" si="0"/>
        <v>6000000</v>
      </c>
      <c r="O25" s="59">
        <f>+VLOOKUP('Bảng tính lương moi( THUE LD2)'!D25,'Ngày công'!$C$6:$AI$57,33,0)</f>
        <v>13</v>
      </c>
      <c r="P25" s="56">
        <f>+VLOOKUP(D25,'Ngày công'!$C$6:$AN$57,38,0)</f>
        <v>79.25</v>
      </c>
      <c r="Q25" s="55">
        <f>+VLOOKUP('Bảng tính lương moi( THUE LD2)'!D25,'Ngày công'!$C$6:$AO$57,39,0)</f>
        <v>0</v>
      </c>
      <c r="R25" s="55">
        <f>+VLOOKUP(D25,'Ngày công'!$C$6:$AJ$57,34,0)</f>
        <v>0</v>
      </c>
      <c r="S25" s="55"/>
      <c r="T25" s="55">
        <f>'[1]CHẤM CÔNG'!DS26</f>
        <v>0</v>
      </c>
      <c r="U25" s="55"/>
      <c r="V25" s="54">
        <f t="shared" si="1"/>
        <v>2225000</v>
      </c>
      <c r="W25" s="54">
        <f t="shared" si="2"/>
        <v>1695492.7884615385</v>
      </c>
      <c r="X25" s="54">
        <f t="shared" si="3"/>
        <v>0</v>
      </c>
      <c r="Y25" s="54">
        <f t="shared" si="4"/>
        <v>3920492.7884615385</v>
      </c>
      <c r="Z25" s="54">
        <f t="shared" si="5"/>
        <v>250000</v>
      </c>
      <c r="AA25" s="54">
        <f t="shared" si="6"/>
        <v>125000</v>
      </c>
      <c r="AB25" s="54">
        <f t="shared" si="7"/>
        <v>0</v>
      </c>
      <c r="AC25" s="54">
        <f t="shared" si="8"/>
        <v>0</v>
      </c>
      <c r="AD25" s="54">
        <f t="shared" si="9"/>
        <v>0</v>
      </c>
      <c r="AE25" s="54">
        <f>L25/E25*O25</f>
        <v>150000</v>
      </c>
      <c r="AF25" s="54">
        <f t="shared" si="11"/>
        <v>250000</v>
      </c>
      <c r="AG25" s="54">
        <f t="shared" si="12"/>
        <v>775000</v>
      </c>
      <c r="AH25" s="304">
        <f t="shared" si="13"/>
        <v>4695492.788461538</v>
      </c>
      <c r="AI25" s="254"/>
      <c r="AJ25" s="254"/>
      <c r="AK25" s="254"/>
      <c r="AL25" s="295">
        <v>11000000</v>
      </c>
      <c r="AM25" s="263">
        <f t="shared" si="14"/>
        <v>0</v>
      </c>
      <c r="AN25" s="295">
        <f t="shared" si="15"/>
        <v>11000000</v>
      </c>
      <c r="AO25" s="295">
        <f t="shared" si="16"/>
        <v>-6304507.211538462</v>
      </c>
      <c r="AP25" s="151">
        <f t="shared" si="17"/>
        <v>0</v>
      </c>
      <c r="AQ25" s="54">
        <f t="shared" si="20"/>
        <v>0</v>
      </c>
      <c r="AR25" s="54"/>
      <c r="AS25" s="54"/>
      <c r="AT25" s="54"/>
      <c r="AU25" s="259">
        <f t="shared" si="18"/>
        <v>0</v>
      </c>
      <c r="AV25" s="290">
        <f t="shared" si="19"/>
        <v>4695492.788461538</v>
      </c>
      <c r="AW25" s="57" t="s">
        <v>217</v>
      </c>
      <c r="AX25" s="307"/>
      <c r="AY25" s="307"/>
      <c r="AZ25" s="307"/>
      <c r="BA25" s="307"/>
      <c r="BB25" s="307"/>
      <c r="BC25" s="307"/>
    </row>
    <row r="26" spans="1:55" s="57" customFormat="1" ht="15.75" x14ac:dyDescent="0.25">
      <c r="A26" s="289">
        <v>21</v>
      </c>
      <c r="B26" s="36" t="s">
        <v>119</v>
      </c>
      <c r="C26" s="36"/>
      <c r="D26" s="36" t="s">
        <v>59</v>
      </c>
      <c r="E26" s="58">
        <v>26</v>
      </c>
      <c r="F26" s="54">
        <v>4450000</v>
      </c>
      <c r="G26" s="54">
        <v>500000</v>
      </c>
      <c r="H26" s="54">
        <v>250000</v>
      </c>
      <c r="I26" s="54"/>
      <c r="J26" s="54"/>
      <c r="K26" s="54"/>
      <c r="L26" s="54">
        <v>300000</v>
      </c>
      <c r="M26" s="54">
        <v>500000</v>
      </c>
      <c r="N26" s="54">
        <f t="shared" si="0"/>
        <v>6000000</v>
      </c>
      <c r="O26" s="59">
        <f>+VLOOKUP('Bảng tính lương moi( THUE LD2)'!D26,'Ngày công'!$C$6:$AI$57,33,0)</f>
        <v>13</v>
      </c>
      <c r="P26" s="56">
        <f>+VLOOKUP(D26,'Ngày công'!$C$6:$AN$57,38,0)</f>
        <v>79.25</v>
      </c>
      <c r="Q26" s="55">
        <f>+VLOOKUP('Bảng tính lương moi( THUE LD2)'!D26,'Ngày công'!$C$6:$AO$57,39,0)</f>
        <v>0</v>
      </c>
      <c r="R26" s="55">
        <f>+VLOOKUP(D26,'Ngày công'!$C$6:$AJ$57,34,0)</f>
        <v>0</v>
      </c>
      <c r="S26" s="55"/>
      <c r="T26" s="55">
        <f>'[1]CHẤM CÔNG'!DS27</f>
        <v>0</v>
      </c>
      <c r="U26" s="55"/>
      <c r="V26" s="54">
        <f t="shared" si="1"/>
        <v>2225000</v>
      </c>
      <c r="W26" s="54">
        <f t="shared" si="2"/>
        <v>1695492.7884615385</v>
      </c>
      <c r="X26" s="54">
        <f t="shared" si="3"/>
        <v>0</v>
      </c>
      <c r="Y26" s="54">
        <f t="shared" si="4"/>
        <v>3920492.7884615385</v>
      </c>
      <c r="Z26" s="54">
        <f t="shared" si="5"/>
        <v>250000</v>
      </c>
      <c r="AA26" s="54">
        <f t="shared" si="6"/>
        <v>125000</v>
      </c>
      <c r="AB26" s="54">
        <f t="shared" si="7"/>
        <v>0</v>
      </c>
      <c r="AC26" s="54">
        <f t="shared" si="8"/>
        <v>0</v>
      </c>
      <c r="AD26" s="54">
        <f t="shared" si="9"/>
        <v>0</v>
      </c>
      <c r="AE26" s="54">
        <f t="shared" si="10"/>
        <v>150000</v>
      </c>
      <c r="AF26" s="54">
        <f t="shared" si="11"/>
        <v>250000</v>
      </c>
      <c r="AG26" s="54">
        <f t="shared" si="12"/>
        <v>775000</v>
      </c>
      <c r="AH26" s="304">
        <f t="shared" si="13"/>
        <v>4695492.788461538</v>
      </c>
      <c r="AI26" s="254"/>
      <c r="AJ26" s="254"/>
      <c r="AK26" s="254"/>
      <c r="AL26" s="295">
        <v>11000000</v>
      </c>
      <c r="AM26" s="263">
        <f t="shared" si="14"/>
        <v>0</v>
      </c>
      <c r="AN26" s="295">
        <f t="shared" si="15"/>
        <v>11000000</v>
      </c>
      <c r="AO26" s="295">
        <f t="shared" si="16"/>
        <v>-6304507.211538462</v>
      </c>
      <c r="AP26" s="151">
        <f t="shared" si="17"/>
        <v>0</v>
      </c>
      <c r="AQ26" s="54">
        <f t="shared" si="20"/>
        <v>0</v>
      </c>
      <c r="AR26" s="54"/>
      <c r="AS26" s="54"/>
      <c r="AT26" s="54"/>
      <c r="AU26" s="259">
        <f t="shared" si="18"/>
        <v>0</v>
      </c>
      <c r="AV26" s="290">
        <f t="shared" si="19"/>
        <v>4695492.788461538</v>
      </c>
      <c r="AW26" s="57" t="s">
        <v>217</v>
      </c>
      <c r="AX26" s="307"/>
      <c r="AY26" s="307"/>
      <c r="AZ26" s="307"/>
      <c r="BA26" s="307"/>
      <c r="BB26" s="307"/>
      <c r="BC26" s="307"/>
    </row>
    <row r="27" spans="1:55" s="57" customFormat="1" ht="15.75" x14ac:dyDescent="0.25">
      <c r="A27" s="289">
        <v>22</v>
      </c>
      <c r="B27" s="36" t="s">
        <v>120</v>
      </c>
      <c r="C27" s="36"/>
      <c r="D27" s="36" t="s">
        <v>60</v>
      </c>
      <c r="E27" s="58">
        <v>26</v>
      </c>
      <c r="F27" s="54">
        <v>4450000</v>
      </c>
      <c r="G27" s="54">
        <v>500000</v>
      </c>
      <c r="H27" s="54">
        <v>250000</v>
      </c>
      <c r="I27" s="54"/>
      <c r="J27" s="54"/>
      <c r="K27" s="54"/>
      <c r="L27" s="54">
        <v>300000</v>
      </c>
      <c r="M27" s="54">
        <v>500000</v>
      </c>
      <c r="N27" s="54">
        <f t="shared" si="0"/>
        <v>6000000</v>
      </c>
      <c r="O27" s="59">
        <f>+VLOOKUP('Bảng tính lương moi( THUE LD2)'!D27,'Ngày công'!$C$6:$AI$57,33,0)</f>
        <v>13</v>
      </c>
      <c r="P27" s="56">
        <f>+VLOOKUP(D27,'Ngày công'!$C$6:$AN$57,38,0)</f>
        <v>36.25</v>
      </c>
      <c r="Q27" s="55">
        <f>+VLOOKUP('Bảng tính lương moi( THUE LD2)'!D27,'Ngày công'!$C$6:$AO$57,39,0)</f>
        <v>0</v>
      </c>
      <c r="R27" s="55">
        <f>+VLOOKUP(D27,'Ngày công'!$C$6:$AJ$57,34,0)</f>
        <v>0</v>
      </c>
      <c r="S27" s="55"/>
      <c r="T27" s="55">
        <f>'[1]CHẤM CÔNG'!DS28</f>
        <v>0</v>
      </c>
      <c r="U27" s="55"/>
      <c r="V27" s="54">
        <f t="shared" si="1"/>
        <v>2225000</v>
      </c>
      <c r="W27" s="54">
        <f t="shared" si="2"/>
        <v>775540.86538461538</v>
      </c>
      <c r="X27" s="54">
        <f t="shared" si="3"/>
        <v>0</v>
      </c>
      <c r="Y27" s="54">
        <f t="shared" si="4"/>
        <v>3000540.8653846155</v>
      </c>
      <c r="Z27" s="54">
        <f t="shared" si="5"/>
        <v>250000</v>
      </c>
      <c r="AA27" s="54">
        <f t="shared" si="6"/>
        <v>125000</v>
      </c>
      <c r="AB27" s="54">
        <f t="shared" si="7"/>
        <v>0</v>
      </c>
      <c r="AC27" s="54">
        <f t="shared" si="8"/>
        <v>0</v>
      </c>
      <c r="AD27" s="54">
        <f t="shared" si="9"/>
        <v>0</v>
      </c>
      <c r="AE27" s="54">
        <f t="shared" si="10"/>
        <v>150000</v>
      </c>
      <c r="AF27" s="54">
        <f t="shared" si="11"/>
        <v>250000</v>
      </c>
      <c r="AG27" s="54">
        <f t="shared" si="12"/>
        <v>775000</v>
      </c>
      <c r="AH27" s="304">
        <f t="shared" si="13"/>
        <v>3775540.8653846155</v>
      </c>
      <c r="AI27" s="254"/>
      <c r="AJ27" s="254"/>
      <c r="AK27" s="254"/>
      <c r="AL27" s="295">
        <v>11000000</v>
      </c>
      <c r="AM27" s="263">
        <f t="shared" si="14"/>
        <v>0</v>
      </c>
      <c r="AN27" s="295">
        <f t="shared" si="15"/>
        <v>11000000</v>
      </c>
      <c r="AO27" s="295">
        <f t="shared" si="16"/>
        <v>-7224459.134615384</v>
      </c>
      <c r="AP27" s="151">
        <f t="shared" si="17"/>
        <v>0</v>
      </c>
      <c r="AQ27" s="54">
        <f t="shared" si="20"/>
        <v>0</v>
      </c>
      <c r="AR27" s="54"/>
      <c r="AS27" s="54"/>
      <c r="AT27" s="54"/>
      <c r="AU27" s="259">
        <f t="shared" si="18"/>
        <v>0</v>
      </c>
      <c r="AV27" s="290">
        <f t="shared" si="19"/>
        <v>3775540.8653846155</v>
      </c>
      <c r="AW27" s="57" t="s">
        <v>217</v>
      </c>
      <c r="AX27" s="307"/>
      <c r="AY27" s="307"/>
      <c r="AZ27" s="307"/>
      <c r="BA27" s="307"/>
      <c r="BB27" s="307"/>
      <c r="BC27" s="307"/>
    </row>
    <row r="28" spans="1:55" s="57" customFormat="1" ht="15.75" x14ac:dyDescent="0.25">
      <c r="A28" s="289">
        <v>24</v>
      </c>
      <c r="B28" s="36" t="s">
        <v>122</v>
      </c>
      <c r="C28" s="36"/>
      <c r="D28" s="36" t="s">
        <v>62</v>
      </c>
      <c r="E28" s="58">
        <v>26</v>
      </c>
      <c r="F28" s="54">
        <v>4450000</v>
      </c>
      <c r="G28" s="54">
        <v>500000</v>
      </c>
      <c r="H28" s="54">
        <v>250000</v>
      </c>
      <c r="I28" s="54">
        <v>500000</v>
      </c>
      <c r="J28" s="54"/>
      <c r="K28" s="54"/>
      <c r="L28" s="54">
        <v>300000</v>
      </c>
      <c r="M28" s="54">
        <v>500000</v>
      </c>
      <c r="N28" s="54">
        <f t="shared" si="0"/>
        <v>6500000</v>
      </c>
      <c r="O28" s="59">
        <f>+VLOOKUP('Bảng tính lương moi( THUE LD2)'!D28,'Ngày công'!$C$6:$AI$57,33,0)</f>
        <v>11</v>
      </c>
      <c r="P28" s="56">
        <f>+VLOOKUP(D28,'Ngày công'!$C$6:$AN$57,38,0)</f>
        <v>74.150000000000006</v>
      </c>
      <c r="Q28" s="55">
        <f>+VLOOKUP('Bảng tính lương moi( THUE LD2)'!D28,'Ngày công'!$C$6:$AO$57,39,0)</f>
        <v>0</v>
      </c>
      <c r="R28" s="55">
        <f>+VLOOKUP(D28,'Ngày công'!$C$6:$AJ$57,34,0)</f>
        <v>0</v>
      </c>
      <c r="S28" s="55"/>
      <c r="T28" s="55">
        <f>'[1]CHẤM CÔNG'!DS30</f>
        <v>0</v>
      </c>
      <c r="U28" s="55"/>
      <c r="V28" s="54">
        <f t="shared" si="1"/>
        <v>1882692.3076923077</v>
      </c>
      <c r="W28" s="54">
        <f t="shared" si="2"/>
        <v>1586382.2115384617</v>
      </c>
      <c r="X28" s="54">
        <f t="shared" si="3"/>
        <v>0</v>
      </c>
      <c r="Y28" s="54">
        <f t="shared" si="4"/>
        <v>3469074.5192307695</v>
      </c>
      <c r="Z28" s="54">
        <f t="shared" si="5"/>
        <v>211538.46153846153</v>
      </c>
      <c r="AA28" s="54">
        <f t="shared" si="6"/>
        <v>105769.23076923077</v>
      </c>
      <c r="AB28" s="54">
        <f>I28/E28*O28</f>
        <v>211538.46153846153</v>
      </c>
      <c r="AC28" s="54">
        <f t="shared" si="8"/>
        <v>0</v>
      </c>
      <c r="AD28" s="54">
        <f t="shared" si="9"/>
        <v>0</v>
      </c>
      <c r="AE28" s="54">
        <f t="shared" si="10"/>
        <v>126923.07692307694</v>
      </c>
      <c r="AF28" s="54">
        <f t="shared" si="11"/>
        <v>211538.46153846153</v>
      </c>
      <c r="AG28" s="54">
        <f t="shared" si="12"/>
        <v>867307.69230769225</v>
      </c>
      <c r="AH28" s="304">
        <f t="shared" si="13"/>
        <v>4336382.211538462</v>
      </c>
      <c r="AI28" s="254"/>
      <c r="AJ28" s="254"/>
      <c r="AK28" s="254"/>
      <c r="AL28" s="295">
        <v>11000000</v>
      </c>
      <c r="AM28" s="263">
        <f t="shared" si="14"/>
        <v>0</v>
      </c>
      <c r="AN28" s="295">
        <f t="shared" si="15"/>
        <v>11000000</v>
      </c>
      <c r="AO28" s="295">
        <f t="shared" si="16"/>
        <v>-6663617.788461538</v>
      </c>
      <c r="AP28" s="151">
        <f t="shared" si="17"/>
        <v>0</v>
      </c>
      <c r="AQ28" s="54">
        <f t="shared" si="20"/>
        <v>0</v>
      </c>
      <c r="AR28" s="54"/>
      <c r="AS28" s="54"/>
      <c r="AT28" s="54"/>
      <c r="AU28" s="259">
        <f t="shared" si="18"/>
        <v>0</v>
      </c>
      <c r="AV28" s="290">
        <f t="shared" si="19"/>
        <v>4336382.211538462</v>
      </c>
      <c r="AW28" s="57" t="s">
        <v>233</v>
      </c>
      <c r="AX28" s="307"/>
      <c r="AY28" s="307"/>
      <c r="AZ28" s="307"/>
      <c r="BA28" s="307"/>
      <c r="BB28" s="307"/>
      <c r="BC28" s="307"/>
    </row>
    <row r="29" spans="1:55" s="57" customFormat="1" ht="15.75" x14ac:dyDescent="0.25">
      <c r="A29" s="289">
        <v>25</v>
      </c>
      <c r="B29" s="36" t="s">
        <v>123</v>
      </c>
      <c r="C29" s="36"/>
      <c r="D29" s="36" t="s">
        <v>63</v>
      </c>
      <c r="E29" s="58">
        <v>26</v>
      </c>
      <c r="F29" s="54">
        <v>4450000</v>
      </c>
      <c r="G29" s="54">
        <v>500000</v>
      </c>
      <c r="H29" s="54">
        <v>250000</v>
      </c>
      <c r="I29" s="54"/>
      <c r="J29" s="54"/>
      <c r="K29" s="54"/>
      <c r="L29" s="54">
        <v>300000</v>
      </c>
      <c r="M29" s="54">
        <v>500000</v>
      </c>
      <c r="N29" s="54">
        <f t="shared" si="0"/>
        <v>6000000</v>
      </c>
      <c r="O29" s="59">
        <f>+VLOOKUP('Bảng tính lương moi( THUE LD2)'!D29,'Ngày công'!$C$6:$AI$57,33,0)</f>
        <v>11</v>
      </c>
      <c r="P29" s="56">
        <f>+VLOOKUP(D29,'Ngày công'!$C$6:$AN$57,38,0)</f>
        <v>72.349999999999994</v>
      </c>
      <c r="Q29" s="55">
        <f>+VLOOKUP('Bảng tính lương moi( THUE LD2)'!D29,'Ngày công'!$C$6:$AO$57,39,0)</f>
        <v>0</v>
      </c>
      <c r="R29" s="55">
        <f>+VLOOKUP(D29,'Ngày công'!$C$6:$AJ$57,34,0)</f>
        <v>1</v>
      </c>
      <c r="S29" s="55"/>
      <c r="T29" s="55">
        <f>'[1]CHẤM CÔNG'!DS31</f>
        <v>0</v>
      </c>
      <c r="U29" s="55"/>
      <c r="V29" s="54">
        <f t="shared" si="1"/>
        <v>1882692.3076923077</v>
      </c>
      <c r="W29" s="54">
        <f t="shared" si="2"/>
        <v>1547872.596153846</v>
      </c>
      <c r="X29" s="54">
        <f t="shared" si="3"/>
        <v>0</v>
      </c>
      <c r="Y29" s="54">
        <f t="shared" si="4"/>
        <v>3430564.903846154</v>
      </c>
      <c r="Z29" s="54">
        <f t="shared" si="5"/>
        <v>211538.46153846153</v>
      </c>
      <c r="AA29" s="54">
        <f t="shared" si="6"/>
        <v>105769.23076923077</v>
      </c>
      <c r="AB29" s="54">
        <f t="shared" si="7"/>
        <v>0</v>
      </c>
      <c r="AC29" s="54">
        <f t="shared" si="8"/>
        <v>0</v>
      </c>
      <c r="AD29" s="54">
        <f t="shared" si="9"/>
        <v>0</v>
      </c>
      <c r="AE29" s="54">
        <f t="shared" si="10"/>
        <v>126923.07692307694</v>
      </c>
      <c r="AF29" s="54">
        <f t="shared" si="11"/>
        <v>211538.46153846153</v>
      </c>
      <c r="AG29" s="54">
        <f t="shared" si="12"/>
        <v>655769.23076923075</v>
      </c>
      <c r="AH29" s="304">
        <f t="shared" si="13"/>
        <v>4086334.134615385</v>
      </c>
      <c r="AI29" s="254"/>
      <c r="AJ29" s="254"/>
      <c r="AK29" s="254"/>
      <c r="AL29" s="295">
        <v>11000000</v>
      </c>
      <c r="AM29" s="263">
        <f t="shared" si="14"/>
        <v>0</v>
      </c>
      <c r="AN29" s="295">
        <f t="shared" si="15"/>
        <v>11000000</v>
      </c>
      <c r="AO29" s="295">
        <f t="shared" si="16"/>
        <v>-6913665.865384615</v>
      </c>
      <c r="AP29" s="151">
        <f t="shared" si="17"/>
        <v>0</v>
      </c>
      <c r="AQ29" s="54">
        <f t="shared" si="20"/>
        <v>0</v>
      </c>
      <c r="AR29" s="54"/>
      <c r="AS29" s="54"/>
      <c r="AT29" s="54"/>
      <c r="AU29" s="259">
        <f t="shared" si="18"/>
        <v>0</v>
      </c>
      <c r="AV29" s="290">
        <f t="shared" si="19"/>
        <v>4086334.134615385</v>
      </c>
      <c r="AX29" s="307"/>
      <c r="AY29" s="307"/>
      <c r="AZ29" s="307"/>
      <c r="BA29" s="307"/>
      <c r="BB29" s="307"/>
      <c r="BC29" s="307"/>
    </row>
    <row r="30" spans="1:55" s="57" customFormat="1" ht="15.75" x14ac:dyDescent="0.25">
      <c r="A30" s="289">
        <v>26</v>
      </c>
      <c r="B30" s="36" t="s">
        <v>124</v>
      </c>
      <c r="C30" s="36"/>
      <c r="D30" s="36" t="s">
        <v>64</v>
      </c>
      <c r="E30" s="58">
        <v>26</v>
      </c>
      <c r="F30" s="54">
        <v>4450000</v>
      </c>
      <c r="G30" s="54"/>
      <c r="H30" s="54"/>
      <c r="I30" s="54"/>
      <c r="J30" s="54"/>
      <c r="K30" s="54"/>
      <c r="L30" s="54"/>
      <c r="M30" s="54"/>
      <c r="N30" s="54">
        <f t="shared" si="0"/>
        <v>4450000</v>
      </c>
      <c r="O30" s="59">
        <f>+VLOOKUP('Bảng tính lương moi( THUE LD2)'!D30,'Ngày công'!$C$6:$AI$57,33,0)</f>
        <v>5</v>
      </c>
      <c r="P30" s="56">
        <f>+VLOOKUP(D30,'Ngày công'!$C$6:$AN$57,38,0)</f>
        <v>29.5</v>
      </c>
      <c r="Q30" s="55">
        <f>+VLOOKUP('Bảng tính lương moi( THUE LD2)'!D30,'Ngày công'!$C$6:$AO$57,39,0)</f>
        <v>0</v>
      </c>
      <c r="R30" s="55">
        <f>+VLOOKUP(D30,'Ngày công'!$C$6:$AJ$57,34,0)</f>
        <v>0</v>
      </c>
      <c r="S30" s="55"/>
      <c r="T30" s="55">
        <f>'[1]CHẤM CÔNG'!DS32</f>
        <v>0</v>
      </c>
      <c r="U30" s="55"/>
      <c r="V30" s="54">
        <f t="shared" si="1"/>
        <v>855769.23076923075</v>
      </c>
      <c r="W30" s="54">
        <f t="shared" si="2"/>
        <v>631129.80769230775</v>
      </c>
      <c r="X30" s="54">
        <f t="shared" si="3"/>
        <v>0</v>
      </c>
      <c r="Y30" s="54">
        <f t="shared" si="4"/>
        <v>1486899.0384615385</v>
      </c>
      <c r="Z30" s="54">
        <f t="shared" si="5"/>
        <v>0</v>
      </c>
      <c r="AA30" s="54">
        <f t="shared" si="6"/>
        <v>0</v>
      </c>
      <c r="AB30" s="54">
        <f t="shared" si="7"/>
        <v>0</v>
      </c>
      <c r="AC30" s="54">
        <f t="shared" si="8"/>
        <v>0</v>
      </c>
      <c r="AD30" s="54">
        <f t="shared" si="9"/>
        <v>0</v>
      </c>
      <c r="AE30" s="54">
        <f t="shared" si="10"/>
        <v>0</v>
      </c>
      <c r="AF30" s="54">
        <f t="shared" si="11"/>
        <v>0</v>
      </c>
      <c r="AG30" s="54">
        <f t="shared" si="12"/>
        <v>0</v>
      </c>
      <c r="AH30" s="304">
        <f t="shared" si="13"/>
        <v>1486899.0384615385</v>
      </c>
      <c r="AI30" s="254"/>
      <c r="AJ30" s="254"/>
      <c r="AK30" s="254"/>
      <c r="AL30" s="295">
        <v>11000000</v>
      </c>
      <c r="AM30" s="263">
        <f t="shared" si="14"/>
        <v>0</v>
      </c>
      <c r="AN30" s="295">
        <f t="shared" si="15"/>
        <v>11000000</v>
      </c>
      <c r="AO30" s="295">
        <f t="shared" si="16"/>
        <v>-9513100.961538462</v>
      </c>
      <c r="AP30" s="151">
        <f t="shared" si="17"/>
        <v>0</v>
      </c>
      <c r="AQ30" s="54">
        <f t="shared" si="20"/>
        <v>0</v>
      </c>
      <c r="AR30" s="54"/>
      <c r="AS30" s="54"/>
      <c r="AT30" s="54"/>
      <c r="AU30" s="259">
        <f t="shared" si="18"/>
        <v>0</v>
      </c>
      <c r="AV30" s="290">
        <f t="shared" si="19"/>
        <v>1486899.0384615385</v>
      </c>
      <c r="AX30" s="307"/>
      <c r="AY30" s="307"/>
      <c r="AZ30" s="307"/>
      <c r="BA30" s="307"/>
      <c r="BB30" s="307"/>
      <c r="BC30" s="307"/>
    </row>
    <row r="31" spans="1:55" s="57" customFormat="1" ht="15.75" x14ac:dyDescent="0.25">
      <c r="A31" s="289">
        <v>27</v>
      </c>
      <c r="B31" s="36" t="s">
        <v>125</v>
      </c>
      <c r="C31" s="36"/>
      <c r="D31" s="36" t="s">
        <v>65</v>
      </c>
      <c r="E31" s="58">
        <v>26</v>
      </c>
      <c r="F31" s="54">
        <v>4450000</v>
      </c>
      <c r="G31" s="54"/>
      <c r="H31" s="54"/>
      <c r="I31" s="54"/>
      <c r="J31" s="54"/>
      <c r="K31" s="54"/>
      <c r="L31" s="54"/>
      <c r="M31" s="54"/>
      <c r="N31" s="54">
        <f t="shared" si="0"/>
        <v>4450000</v>
      </c>
      <c r="O31" s="59">
        <f>+VLOOKUP('Bảng tính lương moi( THUE LD2)'!D31,'Ngày công'!$C$6:$AI$57,33,0)</f>
        <v>5</v>
      </c>
      <c r="P31" s="56">
        <f>+VLOOKUP(D31,'Ngày công'!$C$6:$AN$57,38,0)</f>
        <v>31.75</v>
      </c>
      <c r="Q31" s="55">
        <f>+VLOOKUP('Bảng tính lương moi( THUE LD2)'!D31,'Ngày công'!$C$6:$AO$57,39,0)</f>
        <v>0</v>
      </c>
      <c r="R31" s="55">
        <f>+VLOOKUP(D31,'Ngày công'!$C$6:$AJ$57,34,0)</f>
        <v>0</v>
      </c>
      <c r="S31" s="55"/>
      <c r="T31" s="55">
        <f>'[1]CHẤM CÔNG'!DS33</f>
        <v>0</v>
      </c>
      <c r="U31" s="55"/>
      <c r="V31" s="54">
        <f t="shared" si="1"/>
        <v>855769.23076923075</v>
      </c>
      <c r="W31" s="54">
        <f t="shared" si="2"/>
        <v>679266.82692307688</v>
      </c>
      <c r="X31" s="54">
        <f t="shared" si="3"/>
        <v>0</v>
      </c>
      <c r="Y31" s="54">
        <f t="shared" si="4"/>
        <v>1535036.0576923075</v>
      </c>
      <c r="Z31" s="54">
        <f t="shared" si="5"/>
        <v>0</v>
      </c>
      <c r="AA31" s="54">
        <f t="shared" si="6"/>
        <v>0</v>
      </c>
      <c r="AB31" s="54">
        <f t="shared" si="7"/>
        <v>0</v>
      </c>
      <c r="AC31" s="54">
        <f t="shared" si="8"/>
        <v>0</v>
      </c>
      <c r="AD31" s="54">
        <f t="shared" si="9"/>
        <v>0</v>
      </c>
      <c r="AE31" s="54">
        <f t="shared" si="10"/>
        <v>0</v>
      </c>
      <c r="AF31" s="54">
        <f t="shared" si="11"/>
        <v>0</v>
      </c>
      <c r="AG31" s="54">
        <f t="shared" si="12"/>
        <v>0</v>
      </c>
      <c r="AH31" s="304">
        <f t="shared" si="13"/>
        <v>1535036.0576923075</v>
      </c>
      <c r="AI31" s="254"/>
      <c r="AJ31" s="254"/>
      <c r="AK31" s="254"/>
      <c r="AL31" s="295">
        <v>11000000</v>
      </c>
      <c r="AM31" s="263">
        <f t="shared" si="14"/>
        <v>0</v>
      </c>
      <c r="AN31" s="295">
        <f t="shared" si="15"/>
        <v>11000000</v>
      </c>
      <c r="AO31" s="295">
        <f t="shared" si="16"/>
        <v>-9464963.942307692</v>
      </c>
      <c r="AP31" s="151">
        <f t="shared" si="17"/>
        <v>0</v>
      </c>
      <c r="AQ31" s="54">
        <f t="shared" si="20"/>
        <v>0</v>
      </c>
      <c r="AR31" s="54"/>
      <c r="AS31" s="54"/>
      <c r="AT31" s="54"/>
      <c r="AU31" s="259">
        <f t="shared" si="18"/>
        <v>0</v>
      </c>
      <c r="AV31" s="290">
        <f t="shared" si="19"/>
        <v>1535036.0576923075</v>
      </c>
      <c r="AX31" s="307"/>
      <c r="AY31" s="307"/>
      <c r="AZ31" s="307"/>
      <c r="BA31" s="307"/>
      <c r="BB31" s="307"/>
      <c r="BC31" s="307"/>
    </row>
    <row r="32" spans="1:55" s="57" customFormat="1" ht="15.75" x14ac:dyDescent="0.25">
      <c r="A32" s="289">
        <v>28</v>
      </c>
      <c r="B32" s="36" t="s">
        <v>126</v>
      </c>
      <c r="C32" s="36"/>
      <c r="D32" s="36" t="s">
        <v>235</v>
      </c>
      <c r="E32" s="58">
        <v>26</v>
      </c>
      <c r="F32" s="54">
        <v>4450000</v>
      </c>
      <c r="G32" s="54">
        <v>500000</v>
      </c>
      <c r="H32" s="54">
        <v>250000</v>
      </c>
      <c r="I32" s="54"/>
      <c r="J32" s="54"/>
      <c r="K32" s="54"/>
      <c r="L32" s="54">
        <v>300000</v>
      </c>
      <c r="M32" s="54">
        <v>500000</v>
      </c>
      <c r="N32" s="54">
        <f t="shared" si="0"/>
        <v>6000000</v>
      </c>
      <c r="O32" s="59">
        <f>+VLOOKUP('Bảng tính lương moi( THUE LD2)'!D32,'Ngày công'!$C$6:$AI$57,33,0)</f>
        <v>10</v>
      </c>
      <c r="P32" s="56">
        <f>+VLOOKUP(D32,'Ngày công'!$C$6:$AN$57,38,0)</f>
        <v>23.5</v>
      </c>
      <c r="Q32" s="55">
        <f>+VLOOKUP('Bảng tính lương moi( THUE LD2)'!D32,'Ngày công'!$C$6:$AO$57,39,0)</f>
        <v>0</v>
      </c>
      <c r="R32" s="55">
        <f>+VLOOKUP(D32,'Ngày công'!$C$6:$AJ$57,34,0)</f>
        <v>0</v>
      </c>
      <c r="S32" s="55"/>
      <c r="T32" s="55">
        <f>'[1]CHẤM CÔNG'!DS34</f>
        <v>0</v>
      </c>
      <c r="U32" s="55"/>
      <c r="V32" s="54">
        <f t="shared" si="1"/>
        <v>1711538.4615384615</v>
      </c>
      <c r="W32" s="54">
        <f t="shared" si="2"/>
        <v>502764.42307692306</v>
      </c>
      <c r="X32" s="54">
        <f t="shared" si="3"/>
        <v>0</v>
      </c>
      <c r="Y32" s="54">
        <f t="shared" si="4"/>
        <v>2214302.8846153845</v>
      </c>
      <c r="Z32" s="54">
        <f t="shared" si="5"/>
        <v>192307.69230769231</v>
      </c>
      <c r="AA32" s="54">
        <f t="shared" si="6"/>
        <v>96153.846153846156</v>
      </c>
      <c r="AB32" s="54">
        <f t="shared" si="7"/>
        <v>0</v>
      </c>
      <c r="AC32" s="54">
        <f t="shared" si="8"/>
        <v>0</v>
      </c>
      <c r="AD32" s="54">
        <f t="shared" si="9"/>
        <v>0</v>
      </c>
      <c r="AE32" s="54">
        <f t="shared" si="10"/>
        <v>115384.61538461539</v>
      </c>
      <c r="AF32" s="54">
        <f t="shared" si="11"/>
        <v>192307.69230769231</v>
      </c>
      <c r="AG32" s="54">
        <f t="shared" si="12"/>
        <v>596153.84615384624</v>
      </c>
      <c r="AH32" s="304">
        <f t="shared" si="13"/>
        <v>2810456.730769231</v>
      </c>
      <c r="AI32" s="254"/>
      <c r="AJ32" s="254"/>
      <c r="AK32" s="254"/>
      <c r="AL32" s="295">
        <v>11000000</v>
      </c>
      <c r="AM32" s="263">
        <f t="shared" si="14"/>
        <v>0</v>
      </c>
      <c r="AN32" s="295">
        <f t="shared" si="15"/>
        <v>11000000</v>
      </c>
      <c r="AO32" s="295">
        <f t="shared" si="16"/>
        <v>-8189543.269230769</v>
      </c>
      <c r="AP32" s="151">
        <f t="shared" si="17"/>
        <v>0</v>
      </c>
      <c r="AQ32" s="54">
        <f t="shared" si="20"/>
        <v>0</v>
      </c>
      <c r="AR32" s="54"/>
      <c r="AS32" s="54"/>
      <c r="AT32" s="54"/>
      <c r="AU32" s="259">
        <f t="shared" si="18"/>
        <v>0</v>
      </c>
      <c r="AV32" s="290">
        <f t="shared" si="19"/>
        <v>2810456.730769231</v>
      </c>
      <c r="AW32" s="57" t="s">
        <v>236</v>
      </c>
      <c r="AX32" s="307"/>
      <c r="AY32" s="307"/>
      <c r="AZ32" s="307"/>
      <c r="BA32" s="307"/>
      <c r="BB32" s="307"/>
      <c r="BC32" s="307"/>
    </row>
    <row r="33" spans="1:55" s="57" customFormat="1" ht="15.75" x14ac:dyDescent="0.25">
      <c r="A33" s="289">
        <v>29</v>
      </c>
      <c r="B33" s="36" t="s">
        <v>127</v>
      </c>
      <c r="C33" s="36"/>
      <c r="D33" s="36" t="s">
        <v>66</v>
      </c>
      <c r="E33" s="58">
        <v>26</v>
      </c>
      <c r="F33" s="54">
        <v>4450000</v>
      </c>
      <c r="G33" s="54">
        <v>500000</v>
      </c>
      <c r="H33" s="54">
        <v>250000</v>
      </c>
      <c r="I33" s="54"/>
      <c r="J33" s="54"/>
      <c r="K33" s="54"/>
      <c r="L33" s="54">
        <v>300000</v>
      </c>
      <c r="M33" s="54">
        <v>500000</v>
      </c>
      <c r="N33" s="54">
        <f t="shared" si="0"/>
        <v>6000000</v>
      </c>
      <c r="O33" s="59">
        <f>+VLOOKUP('Bảng tính lương moi( THUE LD2)'!D33,'Ngày công'!$C$6:$AI$57,33,0)</f>
        <v>12</v>
      </c>
      <c r="P33" s="56">
        <f>+VLOOKUP(D33,'Ngày công'!$C$6:$AN$57,38,0)</f>
        <v>33.25</v>
      </c>
      <c r="Q33" s="55">
        <f>+VLOOKUP('Bảng tính lương moi( THUE LD2)'!D33,'Ngày công'!$C$6:$AO$57,39,0)</f>
        <v>0</v>
      </c>
      <c r="R33" s="55">
        <f>+VLOOKUP(D33,'Ngày công'!$C$6:$AJ$57,34,0)</f>
        <v>0</v>
      </c>
      <c r="S33" s="55"/>
      <c r="T33" s="55">
        <f>'[1]CHẤM CÔNG'!DS35</f>
        <v>0</v>
      </c>
      <c r="U33" s="55"/>
      <c r="V33" s="54">
        <f t="shared" si="1"/>
        <v>2053846.153846154</v>
      </c>
      <c r="W33" s="54">
        <f t="shared" si="2"/>
        <v>711358.17307692312</v>
      </c>
      <c r="X33" s="54">
        <f t="shared" si="3"/>
        <v>0</v>
      </c>
      <c r="Y33" s="54">
        <f t="shared" si="4"/>
        <v>2765204.326923077</v>
      </c>
      <c r="Z33" s="54">
        <f t="shared" si="5"/>
        <v>230769.23076923075</v>
      </c>
      <c r="AA33" s="54">
        <f t="shared" si="6"/>
        <v>115384.61538461538</v>
      </c>
      <c r="AB33" s="54">
        <f t="shared" si="7"/>
        <v>0</v>
      </c>
      <c r="AC33" s="54">
        <f t="shared" si="8"/>
        <v>0</v>
      </c>
      <c r="AD33" s="54">
        <f t="shared" si="9"/>
        <v>0</v>
      </c>
      <c r="AE33" s="54">
        <f t="shared" si="10"/>
        <v>138461.53846153847</v>
      </c>
      <c r="AF33" s="54">
        <f t="shared" si="11"/>
        <v>230769.23076923075</v>
      </c>
      <c r="AG33" s="54">
        <f t="shared" si="12"/>
        <v>715384.61538461538</v>
      </c>
      <c r="AH33" s="304">
        <f t="shared" si="13"/>
        <v>3480588.9423076925</v>
      </c>
      <c r="AI33" s="254"/>
      <c r="AJ33" s="254"/>
      <c r="AK33" s="254"/>
      <c r="AL33" s="295">
        <v>11000000</v>
      </c>
      <c r="AM33" s="263">
        <f t="shared" si="14"/>
        <v>0</v>
      </c>
      <c r="AN33" s="295">
        <f t="shared" si="15"/>
        <v>11000000</v>
      </c>
      <c r="AO33" s="295">
        <f t="shared" si="16"/>
        <v>-7519411.057692308</v>
      </c>
      <c r="AP33" s="151">
        <f t="shared" si="17"/>
        <v>0</v>
      </c>
      <c r="AQ33" s="54">
        <f t="shared" si="20"/>
        <v>0</v>
      </c>
      <c r="AR33" s="54"/>
      <c r="AS33" s="54"/>
      <c r="AT33" s="54"/>
      <c r="AU33" s="259">
        <f t="shared" si="18"/>
        <v>0</v>
      </c>
      <c r="AV33" s="290">
        <f t="shared" si="19"/>
        <v>3480588.9423076925</v>
      </c>
      <c r="AW33" s="57" t="s">
        <v>217</v>
      </c>
      <c r="AX33" s="307"/>
      <c r="AY33" s="307"/>
      <c r="AZ33" s="307"/>
      <c r="BA33" s="307"/>
      <c r="BB33" s="307"/>
      <c r="BC33" s="307"/>
    </row>
    <row r="34" spans="1:55" s="57" customFormat="1" ht="15.75" x14ac:dyDescent="0.25">
      <c r="A34" s="289">
        <v>30</v>
      </c>
      <c r="B34" s="36" t="s">
        <v>128</v>
      </c>
      <c r="C34" s="36"/>
      <c r="D34" s="36" t="s">
        <v>67</v>
      </c>
      <c r="E34" s="58">
        <v>26</v>
      </c>
      <c r="F34" s="54">
        <v>4150000</v>
      </c>
      <c r="G34" s="54">
        <v>500000</v>
      </c>
      <c r="H34" s="54">
        <v>250000</v>
      </c>
      <c r="I34" s="54"/>
      <c r="J34" s="54"/>
      <c r="K34" s="54">
        <v>500000</v>
      </c>
      <c r="L34" s="54">
        <v>300000</v>
      </c>
      <c r="M34" s="54">
        <v>300000</v>
      </c>
      <c r="N34" s="54">
        <f t="shared" si="0"/>
        <v>6000000</v>
      </c>
      <c r="O34" s="59">
        <f>+VLOOKUP('Bảng tính lương moi( THUE LD2)'!D34,'Ngày công'!$C$6:$AI$57,33,0)</f>
        <v>20</v>
      </c>
      <c r="P34" s="56">
        <f>+VLOOKUP(D34,'Ngày công'!$C$6:$AN$57,38,0)</f>
        <v>45.25</v>
      </c>
      <c r="Q34" s="55">
        <f>+VLOOKUP('Bảng tính lương moi( THUE LD2)'!D34,'Ngày công'!$C$6:$AO$57,39,0)</f>
        <v>1</v>
      </c>
      <c r="R34" s="55">
        <f>+VLOOKUP(D34,'Ngày công'!$C$6:$AJ$57,34,0)</f>
        <v>0</v>
      </c>
      <c r="S34" s="55"/>
      <c r="T34" s="55">
        <f>'[1]CHẤM CÔNG'!DS36</f>
        <v>2</v>
      </c>
      <c r="U34" s="55"/>
      <c r="V34" s="54">
        <f t="shared" si="1"/>
        <v>3192307.6923076925</v>
      </c>
      <c r="W34" s="54">
        <f t="shared" si="2"/>
        <v>902824.51923076925</v>
      </c>
      <c r="X34" s="54">
        <f t="shared" si="3"/>
        <v>478846.15384615387</v>
      </c>
      <c r="Y34" s="54">
        <f t="shared" si="4"/>
        <v>4573978.365384616</v>
      </c>
      <c r="Z34" s="54">
        <f t="shared" si="5"/>
        <v>384615.38461538462</v>
      </c>
      <c r="AA34" s="54">
        <f t="shared" si="6"/>
        <v>192307.69230769231</v>
      </c>
      <c r="AB34" s="54">
        <f>I34/E34*O34</f>
        <v>0</v>
      </c>
      <c r="AC34" s="54">
        <f t="shared" si="8"/>
        <v>0</v>
      </c>
      <c r="AD34" s="54">
        <f t="shared" si="9"/>
        <v>500000</v>
      </c>
      <c r="AE34" s="54">
        <f t="shared" si="10"/>
        <v>230769.23076923078</v>
      </c>
      <c r="AF34" s="54">
        <f t="shared" si="11"/>
        <v>230769.23076923078</v>
      </c>
      <c r="AG34" s="54">
        <f t="shared" si="12"/>
        <v>1538461.5384615385</v>
      </c>
      <c r="AH34" s="304">
        <f t="shared" si="13"/>
        <v>6112439.903846154</v>
      </c>
      <c r="AI34" s="254"/>
      <c r="AJ34" s="254"/>
      <c r="AK34" s="254"/>
      <c r="AL34" s="295">
        <v>11000000</v>
      </c>
      <c r="AM34" s="263">
        <f t="shared" si="14"/>
        <v>0</v>
      </c>
      <c r="AN34" s="295">
        <f t="shared" si="15"/>
        <v>11000000</v>
      </c>
      <c r="AO34" s="295">
        <f t="shared" si="16"/>
        <v>-4887560.096153846</v>
      </c>
      <c r="AP34" s="151">
        <f t="shared" si="17"/>
        <v>0</v>
      </c>
      <c r="AQ34" s="54">
        <f t="shared" si="20"/>
        <v>39903.846153846156</v>
      </c>
      <c r="AR34" s="54"/>
      <c r="AS34" s="54"/>
      <c r="AT34" s="54"/>
      <c r="AU34" s="259">
        <f t="shared" si="18"/>
        <v>39903.846153846156</v>
      </c>
      <c r="AV34" s="290">
        <f t="shared" si="19"/>
        <v>6072536.057692308</v>
      </c>
      <c r="AX34" s="307"/>
      <c r="AY34" s="307"/>
      <c r="AZ34" s="307"/>
      <c r="BA34" s="307"/>
      <c r="BB34" s="307"/>
      <c r="BC34" s="307"/>
    </row>
    <row r="35" spans="1:55" s="57" customFormat="1" ht="15.75" x14ac:dyDescent="0.25">
      <c r="A35" s="289">
        <v>31</v>
      </c>
      <c r="B35" s="36" t="s">
        <v>129</v>
      </c>
      <c r="C35" s="36"/>
      <c r="D35" s="36" t="s">
        <v>96</v>
      </c>
      <c r="E35" s="58">
        <v>26</v>
      </c>
      <c r="F35" s="54">
        <v>4150000</v>
      </c>
      <c r="G35" s="54">
        <v>500000</v>
      </c>
      <c r="H35" s="54">
        <v>250000</v>
      </c>
      <c r="I35" s="54"/>
      <c r="J35" s="54"/>
      <c r="K35" s="54"/>
      <c r="L35" s="54">
        <v>300000</v>
      </c>
      <c r="M35" s="54">
        <v>300000</v>
      </c>
      <c r="N35" s="54">
        <f t="shared" si="0"/>
        <v>5500000</v>
      </c>
      <c r="O35" s="59">
        <f>+VLOOKUP('Bảng tính lương moi( THUE LD2)'!D35,'Ngày công'!$C$6:$AI$57,33,0)</f>
        <v>11.5</v>
      </c>
      <c r="P35" s="56">
        <f>+VLOOKUP(D35,'Ngày công'!$C$6:$AN$57,38,0)</f>
        <v>24</v>
      </c>
      <c r="Q35" s="55">
        <f>+VLOOKUP('Bảng tính lương moi( THUE LD2)'!D35,'Ngày công'!$C$6:$AO$57,39,0)</f>
        <v>0</v>
      </c>
      <c r="R35" s="55">
        <f>+VLOOKUP(D35,'Ngày công'!$C$6:$AJ$57,34,0)</f>
        <v>0</v>
      </c>
      <c r="S35" s="55"/>
      <c r="T35" s="55">
        <f>'[1]CHẤM CÔNG'!DS37</f>
        <v>2</v>
      </c>
      <c r="U35" s="55"/>
      <c r="V35" s="54">
        <f t="shared" si="1"/>
        <v>1835576.9230769232</v>
      </c>
      <c r="W35" s="54">
        <f t="shared" si="2"/>
        <v>478846.15384615387</v>
      </c>
      <c r="X35" s="54">
        <f t="shared" si="3"/>
        <v>0</v>
      </c>
      <c r="Y35" s="54">
        <f t="shared" si="4"/>
        <v>2314423.076923077</v>
      </c>
      <c r="Z35" s="54">
        <f t="shared" si="5"/>
        <v>221153.84615384616</v>
      </c>
      <c r="AA35" s="54">
        <f t="shared" si="6"/>
        <v>110576.92307692308</v>
      </c>
      <c r="AB35" s="54">
        <f t="shared" si="7"/>
        <v>0</v>
      </c>
      <c r="AC35" s="54">
        <f t="shared" si="8"/>
        <v>0</v>
      </c>
      <c r="AD35" s="54">
        <f t="shared" si="9"/>
        <v>0</v>
      </c>
      <c r="AE35" s="54">
        <f t="shared" si="10"/>
        <v>132692.30769230769</v>
      </c>
      <c r="AF35" s="54">
        <f t="shared" si="11"/>
        <v>132692.30769230769</v>
      </c>
      <c r="AG35" s="54">
        <f t="shared" si="12"/>
        <v>597115.38461538462</v>
      </c>
      <c r="AH35" s="304">
        <f t="shared" si="13"/>
        <v>2911538.4615384615</v>
      </c>
      <c r="AI35" s="254"/>
      <c r="AJ35" s="254"/>
      <c r="AK35" s="254"/>
      <c r="AL35" s="295">
        <v>11000000</v>
      </c>
      <c r="AM35" s="263">
        <f t="shared" si="14"/>
        <v>0</v>
      </c>
      <c r="AN35" s="295">
        <f t="shared" si="15"/>
        <v>11000000</v>
      </c>
      <c r="AO35" s="295">
        <f t="shared" si="16"/>
        <v>-8088461.538461538</v>
      </c>
      <c r="AP35" s="151">
        <f t="shared" si="17"/>
        <v>0</v>
      </c>
      <c r="AQ35" s="54">
        <f t="shared" si="20"/>
        <v>39903.846153846156</v>
      </c>
      <c r="AR35" s="54"/>
      <c r="AS35" s="54"/>
      <c r="AT35" s="54"/>
      <c r="AU35" s="259">
        <f t="shared" si="18"/>
        <v>39903.846153846156</v>
      </c>
      <c r="AV35" s="290">
        <f t="shared" si="19"/>
        <v>2871634.6153846155</v>
      </c>
      <c r="AX35" s="307"/>
      <c r="AY35" s="307"/>
      <c r="AZ35" s="307"/>
      <c r="BA35" s="307"/>
      <c r="BB35" s="307"/>
      <c r="BC35" s="307"/>
    </row>
    <row r="36" spans="1:55" s="57" customFormat="1" ht="15.75" x14ac:dyDescent="0.25">
      <c r="A36" s="289">
        <v>32</v>
      </c>
      <c r="B36" s="36" t="s">
        <v>130</v>
      </c>
      <c r="C36" s="36"/>
      <c r="D36" s="36" t="s">
        <v>68</v>
      </c>
      <c r="E36" s="58">
        <v>26</v>
      </c>
      <c r="F36" s="54">
        <v>4150000</v>
      </c>
      <c r="G36" s="54">
        <v>500000</v>
      </c>
      <c r="H36" s="54">
        <v>250000</v>
      </c>
      <c r="I36" s="54"/>
      <c r="J36" s="54"/>
      <c r="K36" s="54"/>
      <c r="L36" s="54">
        <v>300000</v>
      </c>
      <c r="M36" s="54">
        <v>300000</v>
      </c>
      <c r="N36" s="54">
        <f t="shared" si="0"/>
        <v>5500000</v>
      </c>
      <c r="O36" s="59">
        <f>+VLOOKUP('Bảng tính lương moi( THUE LD2)'!D36,'Ngày công'!$C$6:$AI$57,33,0)</f>
        <v>4</v>
      </c>
      <c r="P36" s="56">
        <f>+VLOOKUP(D36,'Ngày công'!$C$6:$AN$57,38,0)</f>
        <v>12.25</v>
      </c>
      <c r="Q36" s="55">
        <f>+VLOOKUP('Bảng tính lương moi( THUE LD2)'!D36,'Ngày công'!$C$6:$AO$57,39,0)</f>
        <v>0</v>
      </c>
      <c r="R36" s="55">
        <f>+VLOOKUP(D36,'Ngày công'!$C$6:$AJ$57,34,0)</f>
        <v>0</v>
      </c>
      <c r="S36" s="55"/>
      <c r="T36" s="55">
        <f>'[1]CHẤM CÔNG'!DS38</f>
        <v>0</v>
      </c>
      <c r="U36" s="55"/>
      <c r="V36" s="54">
        <f t="shared" si="1"/>
        <v>638461.5384615385</v>
      </c>
      <c r="W36" s="54">
        <f t="shared" si="2"/>
        <v>244411.05769230772</v>
      </c>
      <c r="X36" s="54">
        <f t="shared" si="3"/>
        <v>0</v>
      </c>
      <c r="Y36" s="54">
        <f t="shared" si="4"/>
        <v>882872.59615384624</v>
      </c>
      <c r="Z36" s="54">
        <f t="shared" si="5"/>
        <v>76923.076923076922</v>
      </c>
      <c r="AA36" s="54">
        <f t="shared" si="6"/>
        <v>38461.538461538461</v>
      </c>
      <c r="AB36" s="54">
        <f t="shared" si="7"/>
        <v>0</v>
      </c>
      <c r="AC36" s="54">
        <f t="shared" si="8"/>
        <v>0</v>
      </c>
      <c r="AD36" s="54">
        <f t="shared" si="9"/>
        <v>0</v>
      </c>
      <c r="AE36" s="54">
        <f t="shared" si="10"/>
        <v>46153.846153846156</v>
      </c>
      <c r="AF36" s="54">
        <f t="shared" si="11"/>
        <v>46153.846153846156</v>
      </c>
      <c r="AG36" s="54">
        <f t="shared" si="12"/>
        <v>207692.30769230769</v>
      </c>
      <c r="AH36" s="304">
        <f t="shared" si="13"/>
        <v>1090564.903846154</v>
      </c>
      <c r="AI36" s="254"/>
      <c r="AJ36" s="254"/>
      <c r="AK36" s="254"/>
      <c r="AL36" s="295">
        <v>11000000</v>
      </c>
      <c r="AM36" s="263">
        <f t="shared" si="14"/>
        <v>0</v>
      </c>
      <c r="AN36" s="295">
        <f t="shared" si="15"/>
        <v>11000000</v>
      </c>
      <c r="AO36" s="295">
        <f t="shared" si="16"/>
        <v>-9909435.096153846</v>
      </c>
      <c r="AP36" s="151">
        <f t="shared" si="17"/>
        <v>0</v>
      </c>
      <c r="AQ36" s="54">
        <f t="shared" si="20"/>
        <v>0</v>
      </c>
      <c r="AR36" s="54"/>
      <c r="AS36" s="54"/>
      <c r="AT36" s="54"/>
      <c r="AU36" s="259">
        <f t="shared" si="18"/>
        <v>0</v>
      </c>
      <c r="AV36" s="290">
        <f t="shared" si="19"/>
        <v>1090564.903846154</v>
      </c>
      <c r="AW36" s="57" t="s">
        <v>217</v>
      </c>
      <c r="AX36" s="307"/>
      <c r="AY36" s="307"/>
      <c r="AZ36" s="307"/>
      <c r="BA36" s="307"/>
      <c r="BB36" s="307"/>
      <c r="BC36" s="307"/>
    </row>
    <row r="37" spans="1:55" s="57" customFormat="1" ht="15.75" x14ac:dyDescent="0.25">
      <c r="A37" s="289">
        <v>33</v>
      </c>
      <c r="B37" s="36" t="s">
        <v>131</v>
      </c>
      <c r="C37" s="36"/>
      <c r="D37" s="36" t="s">
        <v>69</v>
      </c>
      <c r="E37" s="58">
        <v>26</v>
      </c>
      <c r="F37" s="54">
        <v>4450000</v>
      </c>
      <c r="G37" s="54">
        <v>500000</v>
      </c>
      <c r="H37" s="54">
        <v>250000</v>
      </c>
      <c r="I37" s="54"/>
      <c r="J37" s="54"/>
      <c r="K37" s="54"/>
      <c r="L37" s="54">
        <v>300000</v>
      </c>
      <c r="M37" s="54">
        <v>500000</v>
      </c>
      <c r="N37" s="54">
        <f t="shared" si="0"/>
        <v>6000000</v>
      </c>
      <c r="O37" s="59">
        <f>+VLOOKUP('Bảng tính lương moi( THUE LD2)'!D37,'Ngày công'!$C$6:$AI$57,33,0)</f>
        <v>9</v>
      </c>
      <c r="P37" s="56">
        <f>+VLOOKUP(D37,'Ngày công'!$C$6:$AN$57,38,0)</f>
        <v>35.4</v>
      </c>
      <c r="Q37" s="55">
        <f>+VLOOKUP('Bảng tính lương moi( THUE LD2)'!D37,'Ngày công'!$C$6:$AO$57,39,0)</f>
        <v>0</v>
      </c>
      <c r="R37" s="55">
        <f>+VLOOKUP(D37,'Ngày công'!$C$6:$AJ$57,34,0)</f>
        <v>0</v>
      </c>
      <c r="S37" s="55"/>
      <c r="T37" s="55">
        <f>'[1]CHẤM CÔNG'!DS39</f>
        <v>0</v>
      </c>
      <c r="U37" s="55"/>
      <c r="V37" s="54">
        <f t="shared" si="1"/>
        <v>1540384.6153846155</v>
      </c>
      <c r="W37" s="54">
        <f t="shared" si="2"/>
        <v>757355.76923076925</v>
      </c>
      <c r="X37" s="54">
        <f t="shared" si="3"/>
        <v>0</v>
      </c>
      <c r="Y37" s="54">
        <f t="shared" si="4"/>
        <v>2297740.384615385</v>
      </c>
      <c r="Z37" s="54">
        <f t="shared" si="5"/>
        <v>173076.92307692306</v>
      </c>
      <c r="AA37" s="54">
        <f t="shared" si="6"/>
        <v>86538.461538461532</v>
      </c>
      <c r="AB37" s="54">
        <f t="shared" si="7"/>
        <v>0</v>
      </c>
      <c r="AC37" s="54">
        <f t="shared" si="8"/>
        <v>0</v>
      </c>
      <c r="AD37" s="54">
        <f t="shared" si="9"/>
        <v>0</v>
      </c>
      <c r="AE37" s="54">
        <f t="shared" si="10"/>
        <v>103846.15384615384</v>
      </c>
      <c r="AF37" s="54">
        <f t="shared" si="11"/>
        <v>173076.92307692306</v>
      </c>
      <c r="AG37" s="54">
        <f t="shared" si="12"/>
        <v>536538.4615384615</v>
      </c>
      <c r="AH37" s="304">
        <f t="shared" si="13"/>
        <v>2834278.8461538465</v>
      </c>
      <c r="AI37" s="254"/>
      <c r="AJ37" s="254"/>
      <c r="AK37" s="254"/>
      <c r="AL37" s="295">
        <v>11000000</v>
      </c>
      <c r="AM37" s="263">
        <f t="shared" si="14"/>
        <v>0</v>
      </c>
      <c r="AN37" s="295">
        <f t="shared" si="15"/>
        <v>11000000</v>
      </c>
      <c r="AO37" s="295">
        <f t="shared" si="16"/>
        <v>-8165721.153846154</v>
      </c>
      <c r="AP37" s="151">
        <f t="shared" si="17"/>
        <v>0</v>
      </c>
      <c r="AQ37" s="54">
        <f t="shared" si="20"/>
        <v>0</v>
      </c>
      <c r="AR37" s="54"/>
      <c r="AS37" s="54"/>
      <c r="AT37" s="54"/>
      <c r="AU37" s="259">
        <f t="shared" si="18"/>
        <v>0</v>
      </c>
      <c r="AV37" s="290">
        <f t="shared" si="19"/>
        <v>2834278.8461538465</v>
      </c>
      <c r="AW37" s="57" t="s">
        <v>208</v>
      </c>
      <c r="AX37" s="307"/>
      <c r="AY37" s="307"/>
      <c r="AZ37" s="307"/>
      <c r="BA37" s="307"/>
      <c r="BB37" s="307"/>
      <c r="BC37" s="307"/>
    </row>
    <row r="38" spans="1:55" s="57" customFormat="1" ht="15.75" x14ac:dyDescent="0.25">
      <c r="A38" s="289">
        <v>34</v>
      </c>
      <c r="B38" s="36" t="s">
        <v>132</v>
      </c>
      <c r="C38" s="36"/>
      <c r="D38" s="36" t="s">
        <v>70</v>
      </c>
      <c r="E38" s="58">
        <v>26</v>
      </c>
      <c r="F38" s="54">
        <v>4450000</v>
      </c>
      <c r="G38" s="54">
        <v>500000</v>
      </c>
      <c r="H38" s="54">
        <v>250000</v>
      </c>
      <c r="I38" s="54"/>
      <c r="J38" s="54"/>
      <c r="K38" s="54"/>
      <c r="L38" s="54">
        <v>300000</v>
      </c>
      <c r="M38" s="54">
        <v>500000</v>
      </c>
      <c r="N38" s="54">
        <f t="shared" si="0"/>
        <v>6000000</v>
      </c>
      <c r="O38" s="59">
        <f>+VLOOKUP('Bảng tính lương moi( THUE LD2)'!D38,'Ngày công'!$C$6:$AI$57,33,0)</f>
        <v>8</v>
      </c>
      <c r="P38" s="56">
        <f>+VLOOKUP(D38,'Ngày công'!$C$6:$AN$57,38,0)</f>
        <v>51.25</v>
      </c>
      <c r="Q38" s="55">
        <f>+VLOOKUP('Bảng tính lương moi( THUE LD2)'!D38,'Ngày công'!$C$6:$AO$57,39,0)</f>
        <v>0</v>
      </c>
      <c r="R38" s="55">
        <f>+VLOOKUP(D38,'Ngày công'!$C$6:$AJ$57,34,0)</f>
        <v>0</v>
      </c>
      <c r="S38" s="55"/>
      <c r="T38" s="55">
        <f>'[1]CHẤM CÔNG'!DS40</f>
        <v>0</v>
      </c>
      <c r="U38" s="55"/>
      <c r="V38" s="54">
        <f t="shared" si="1"/>
        <v>1369230.7692307692</v>
      </c>
      <c r="W38" s="54">
        <f t="shared" si="2"/>
        <v>1096454.326923077</v>
      </c>
      <c r="X38" s="54">
        <f t="shared" si="3"/>
        <v>0</v>
      </c>
      <c r="Y38" s="54">
        <f t="shared" si="4"/>
        <v>2465685.096153846</v>
      </c>
      <c r="Z38" s="54">
        <f t="shared" si="5"/>
        <v>153846.15384615384</v>
      </c>
      <c r="AA38" s="54">
        <f t="shared" si="6"/>
        <v>76923.076923076922</v>
      </c>
      <c r="AB38" s="54">
        <f t="shared" si="7"/>
        <v>0</v>
      </c>
      <c r="AC38" s="54">
        <f t="shared" si="8"/>
        <v>0</v>
      </c>
      <c r="AD38" s="54">
        <f t="shared" si="9"/>
        <v>0</v>
      </c>
      <c r="AE38" s="54">
        <f t="shared" si="10"/>
        <v>92307.692307692312</v>
      </c>
      <c r="AF38" s="54">
        <f t="shared" si="11"/>
        <v>153846.15384615384</v>
      </c>
      <c r="AG38" s="54">
        <f t="shared" si="12"/>
        <v>476923.07692307688</v>
      </c>
      <c r="AH38" s="304">
        <f t="shared" si="13"/>
        <v>2942608.173076923</v>
      </c>
      <c r="AI38" s="254"/>
      <c r="AJ38" s="254"/>
      <c r="AK38" s="254"/>
      <c r="AL38" s="295">
        <v>11000000</v>
      </c>
      <c r="AM38" s="263">
        <f t="shared" si="14"/>
        <v>0</v>
      </c>
      <c r="AN38" s="295">
        <f t="shared" si="15"/>
        <v>11000000</v>
      </c>
      <c r="AO38" s="295">
        <f t="shared" si="16"/>
        <v>-8057391.826923077</v>
      </c>
      <c r="AP38" s="151">
        <f t="shared" si="17"/>
        <v>0</v>
      </c>
      <c r="AQ38" s="54">
        <f t="shared" si="20"/>
        <v>0</v>
      </c>
      <c r="AR38" s="54"/>
      <c r="AS38" s="54"/>
      <c r="AT38" s="54"/>
      <c r="AU38" s="259">
        <f t="shared" si="18"/>
        <v>0</v>
      </c>
      <c r="AV38" s="290">
        <f t="shared" si="19"/>
        <v>2942608.173076923</v>
      </c>
      <c r="AW38" s="57" t="s">
        <v>223</v>
      </c>
      <c r="AX38" s="307"/>
      <c r="AY38" s="307"/>
      <c r="AZ38" s="307"/>
      <c r="BA38" s="307"/>
      <c r="BB38" s="307"/>
      <c r="BC38" s="307"/>
    </row>
    <row r="39" spans="1:55" s="57" customFormat="1" ht="15.75" x14ac:dyDescent="0.25">
      <c r="A39" s="289">
        <v>35</v>
      </c>
      <c r="B39" s="36" t="s">
        <v>133</v>
      </c>
      <c r="C39" s="36"/>
      <c r="D39" s="36" t="s">
        <v>71</v>
      </c>
      <c r="E39" s="58">
        <v>26</v>
      </c>
      <c r="F39" s="54">
        <v>4450000</v>
      </c>
      <c r="G39" s="54">
        <v>500000</v>
      </c>
      <c r="H39" s="54">
        <v>250000</v>
      </c>
      <c r="I39" s="54"/>
      <c r="J39" s="54"/>
      <c r="K39" s="54"/>
      <c r="L39" s="54">
        <v>300000</v>
      </c>
      <c r="M39" s="54">
        <v>500000</v>
      </c>
      <c r="N39" s="54">
        <f t="shared" si="0"/>
        <v>6000000</v>
      </c>
      <c r="O39" s="59">
        <f>+VLOOKUP('Bảng tính lương moi( THUE LD2)'!D39,'Ngày công'!$C$6:$AI$57,33,0)</f>
        <v>7</v>
      </c>
      <c r="P39" s="56">
        <f>+VLOOKUP(D39,'Ngày công'!$C$6:$AN$57,38,0)</f>
        <v>26.4</v>
      </c>
      <c r="Q39" s="55">
        <f>+VLOOKUP('Bảng tính lương moi( THUE LD2)'!D39,'Ngày công'!$C$6:$AO$57,39,0)</f>
        <v>0</v>
      </c>
      <c r="R39" s="55">
        <f>+VLOOKUP(D39,'Ngày công'!$C$6:$AJ$57,34,0)</f>
        <v>0</v>
      </c>
      <c r="S39" s="55"/>
      <c r="T39" s="55">
        <f>'[1]CHẤM CÔNG'!DS41</f>
        <v>0</v>
      </c>
      <c r="U39" s="55"/>
      <c r="V39" s="54">
        <f t="shared" si="1"/>
        <v>1198076.923076923</v>
      </c>
      <c r="W39" s="54">
        <f t="shared" si="2"/>
        <v>564807.69230769225</v>
      </c>
      <c r="X39" s="54">
        <f t="shared" si="3"/>
        <v>0</v>
      </c>
      <c r="Y39" s="54">
        <f t="shared" si="4"/>
        <v>1762884.6153846153</v>
      </c>
      <c r="Z39" s="54">
        <f t="shared" si="5"/>
        <v>134615.38461538462</v>
      </c>
      <c r="AA39" s="54">
        <f t="shared" si="6"/>
        <v>67307.692307692312</v>
      </c>
      <c r="AB39" s="54">
        <f t="shared" si="7"/>
        <v>0</v>
      </c>
      <c r="AC39" s="54">
        <f t="shared" si="8"/>
        <v>0</v>
      </c>
      <c r="AD39" s="54">
        <f t="shared" si="9"/>
        <v>0</v>
      </c>
      <c r="AE39" s="54">
        <f t="shared" si="10"/>
        <v>80769.23076923078</v>
      </c>
      <c r="AF39" s="54">
        <f t="shared" si="11"/>
        <v>134615.38461538462</v>
      </c>
      <c r="AG39" s="54">
        <f t="shared" si="12"/>
        <v>417307.69230769237</v>
      </c>
      <c r="AH39" s="304">
        <f t="shared" si="13"/>
        <v>2180192.3076923075</v>
      </c>
      <c r="AI39" s="254"/>
      <c r="AJ39" s="254"/>
      <c r="AK39" s="254"/>
      <c r="AL39" s="295">
        <v>11000000</v>
      </c>
      <c r="AM39" s="263">
        <f t="shared" si="14"/>
        <v>0</v>
      </c>
      <c r="AN39" s="295">
        <f t="shared" si="15"/>
        <v>11000000</v>
      </c>
      <c r="AO39" s="295">
        <f t="shared" si="16"/>
        <v>-8819807.692307692</v>
      </c>
      <c r="AP39" s="151">
        <f t="shared" si="17"/>
        <v>0</v>
      </c>
      <c r="AQ39" s="54">
        <f t="shared" si="20"/>
        <v>0</v>
      </c>
      <c r="AR39" s="54"/>
      <c r="AS39" s="54"/>
      <c r="AT39" s="54"/>
      <c r="AU39" s="259">
        <f t="shared" si="18"/>
        <v>0</v>
      </c>
      <c r="AV39" s="290">
        <f t="shared" si="19"/>
        <v>2180192.3076923075</v>
      </c>
      <c r="AW39" s="57" t="s">
        <v>207</v>
      </c>
      <c r="AX39" s="307"/>
      <c r="AY39" s="307"/>
      <c r="AZ39" s="307"/>
      <c r="BA39" s="307"/>
      <c r="BB39" s="307"/>
      <c r="BC39" s="307"/>
    </row>
    <row r="40" spans="1:55" s="57" customFormat="1" ht="15.75" x14ac:dyDescent="0.25">
      <c r="A40" s="289">
        <v>36</v>
      </c>
      <c r="B40" s="36" t="s">
        <v>134</v>
      </c>
      <c r="C40" s="36"/>
      <c r="D40" s="36" t="s">
        <v>72</v>
      </c>
      <c r="E40" s="58">
        <v>26</v>
      </c>
      <c r="F40" s="54">
        <v>4450000</v>
      </c>
      <c r="G40" s="54">
        <v>500000</v>
      </c>
      <c r="H40" s="54">
        <v>250000</v>
      </c>
      <c r="I40" s="54"/>
      <c r="J40" s="54"/>
      <c r="K40" s="54"/>
      <c r="L40" s="54">
        <v>300000</v>
      </c>
      <c r="M40" s="54">
        <v>500000</v>
      </c>
      <c r="N40" s="54">
        <f t="shared" si="0"/>
        <v>6000000</v>
      </c>
      <c r="O40" s="59">
        <f>+VLOOKUP('Bảng tính lương moi( THUE LD2)'!D40,'Ngày công'!$C$6:$AI$57,33,0)</f>
        <v>7</v>
      </c>
      <c r="P40" s="56">
        <f>+VLOOKUP(D40,'Ngày công'!$C$6:$AN$57,38,0)</f>
        <v>30.9</v>
      </c>
      <c r="Q40" s="55">
        <f>+VLOOKUP('Bảng tính lương moi( THUE LD2)'!D40,'Ngày công'!$C$6:$AO$57,39,0)</f>
        <v>0</v>
      </c>
      <c r="R40" s="55">
        <f>+VLOOKUP(D40,'Ngày công'!$C$6:$AJ$57,34,0)</f>
        <v>0</v>
      </c>
      <c r="S40" s="55"/>
      <c r="T40" s="55">
        <f>'[1]CHẤM CÔNG'!DS42</f>
        <v>0</v>
      </c>
      <c r="U40" s="55"/>
      <c r="V40" s="54">
        <f t="shared" si="1"/>
        <v>1198076.923076923</v>
      </c>
      <c r="W40" s="54">
        <f t="shared" si="2"/>
        <v>661081.73076923075</v>
      </c>
      <c r="X40" s="54">
        <f t="shared" si="3"/>
        <v>0</v>
      </c>
      <c r="Y40" s="54">
        <f t="shared" si="4"/>
        <v>1859158.6538461538</v>
      </c>
      <c r="Z40" s="54">
        <f t="shared" si="5"/>
        <v>134615.38461538462</v>
      </c>
      <c r="AA40" s="54">
        <f t="shared" si="6"/>
        <v>67307.692307692312</v>
      </c>
      <c r="AB40" s="54">
        <f t="shared" si="7"/>
        <v>0</v>
      </c>
      <c r="AC40" s="54">
        <f t="shared" si="8"/>
        <v>0</v>
      </c>
      <c r="AD40" s="54">
        <f t="shared" si="9"/>
        <v>0</v>
      </c>
      <c r="AE40" s="54">
        <f t="shared" si="10"/>
        <v>80769.23076923078</v>
      </c>
      <c r="AF40" s="54">
        <f t="shared" si="11"/>
        <v>134615.38461538462</v>
      </c>
      <c r="AG40" s="54">
        <f t="shared" si="12"/>
        <v>417307.69230769237</v>
      </c>
      <c r="AH40" s="304">
        <f t="shared" si="13"/>
        <v>2276466.346153846</v>
      </c>
      <c r="AI40" s="254"/>
      <c r="AJ40" s="254"/>
      <c r="AK40" s="254"/>
      <c r="AL40" s="295">
        <v>11000000</v>
      </c>
      <c r="AM40" s="263">
        <f t="shared" si="14"/>
        <v>0</v>
      </c>
      <c r="AN40" s="295">
        <f t="shared" si="15"/>
        <v>11000000</v>
      </c>
      <c r="AO40" s="295">
        <f t="shared" si="16"/>
        <v>-8723533.653846154</v>
      </c>
      <c r="AP40" s="151">
        <f t="shared" si="17"/>
        <v>0</v>
      </c>
      <c r="AQ40" s="54">
        <f t="shared" si="20"/>
        <v>0</v>
      </c>
      <c r="AR40" s="54"/>
      <c r="AS40" s="54"/>
      <c r="AT40" s="54"/>
      <c r="AU40" s="259">
        <f t="shared" si="18"/>
        <v>0</v>
      </c>
      <c r="AV40" s="290">
        <f t="shared" si="19"/>
        <v>2276466.346153846</v>
      </c>
      <c r="AX40" s="307"/>
      <c r="AY40" s="307"/>
      <c r="AZ40" s="307"/>
      <c r="BA40" s="307"/>
      <c r="BB40" s="307"/>
      <c r="BC40" s="307"/>
    </row>
    <row r="41" spans="1:55" s="57" customFormat="1" ht="15.75" x14ac:dyDescent="0.25">
      <c r="A41" s="289">
        <v>37</v>
      </c>
      <c r="B41" s="36" t="s">
        <v>135</v>
      </c>
      <c r="C41" s="36"/>
      <c r="D41" s="36" t="s">
        <v>73</v>
      </c>
      <c r="E41" s="58">
        <v>26</v>
      </c>
      <c r="F41" s="54">
        <v>4450000</v>
      </c>
      <c r="G41" s="54">
        <v>500000</v>
      </c>
      <c r="H41" s="54">
        <v>250000</v>
      </c>
      <c r="I41" s="54"/>
      <c r="J41" s="54"/>
      <c r="K41" s="54"/>
      <c r="L41" s="54">
        <v>300000</v>
      </c>
      <c r="M41" s="54">
        <v>500000</v>
      </c>
      <c r="N41" s="54">
        <f t="shared" si="0"/>
        <v>6000000</v>
      </c>
      <c r="O41" s="59">
        <f>+VLOOKUP('Bảng tính lương moi( THUE LD2)'!D41,'Ngày công'!$C$6:$AI$57,33,0)</f>
        <v>7</v>
      </c>
      <c r="P41" s="56">
        <f>+VLOOKUP(D41,'Ngày công'!$C$6:$AN$57,38,0)</f>
        <v>38.5</v>
      </c>
      <c r="Q41" s="55">
        <f>+VLOOKUP('Bảng tính lương moi( THUE LD2)'!D41,'Ngày công'!$C$6:$AO$57,39,0)</f>
        <v>0</v>
      </c>
      <c r="R41" s="55">
        <f>+VLOOKUP(D41,'Ngày công'!$C$6:$AJ$57,34,0)</f>
        <v>0</v>
      </c>
      <c r="S41" s="55"/>
      <c r="T41" s="55">
        <f>'[1]CHẤM CÔNG'!DS43</f>
        <v>0</v>
      </c>
      <c r="U41" s="55"/>
      <c r="V41" s="54">
        <f t="shared" si="1"/>
        <v>1198076.923076923</v>
      </c>
      <c r="W41" s="54">
        <f t="shared" si="2"/>
        <v>823677.88461538462</v>
      </c>
      <c r="X41" s="54">
        <f t="shared" si="3"/>
        <v>0</v>
      </c>
      <c r="Y41" s="54">
        <f t="shared" si="4"/>
        <v>2021754.8076923075</v>
      </c>
      <c r="Z41" s="54">
        <f t="shared" si="5"/>
        <v>134615.38461538462</v>
      </c>
      <c r="AA41" s="54">
        <f t="shared" si="6"/>
        <v>67307.692307692312</v>
      </c>
      <c r="AB41" s="54">
        <f t="shared" si="7"/>
        <v>0</v>
      </c>
      <c r="AC41" s="54">
        <f t="shared" si="8"/>
        <v>0</v>
      </c>
      <c r="AD41" s="54">
        <f t="shared" si="9"/>
        <v>0</v>
      </c>
      <c r="AE41" s="54">
        <f t="shared" si="10"/>
        <v>80769.23076923078</v>
      </c>
      <c r="AF41" s="54">
        <f t="shared" si="11"/>
        <v>134615.38461538462</v>
      </c>
      <c r="AG41" s="54">
        <f t="shared" si="12"/>
        <v>417307.69230769237</v>
      </c>
      <c r="AH41" s="304">
        <f t="shared" si="13"/>
        <v>2439062.5</v>
      </c>
      <c r="AI41" s="254"/>
      <c r="AJ41" s="254"/>
      <c r="AK41" s="254"/>
      <c r="AL41" s="295">
        <v>11000000</v>
      </c>
      <c r="AM41" s="263">
        <f t="shared" si="14"/>
        <v>0</v>
      </c>
      <c r="AN41" s="295">
        <f t="shared" si="15"/>
        <v>11000000</v>
      </c>
      <c r="AO41" s="295">
        <f t="shared" si="16"/>
        <v>-8560937.5</v>
      </c>
      <c r="AP41" s="151">
        <f t="shared" si="17"/>
        <v>0</v>
      </c>
      <c r="AQ41" s="54">
        <f t="shared" si="20"/>
        <v>0</v>
      </c>
      <c r="AR41" s="54"/>
      <c r="AS41" s="54"/>
      <c r="AT41" s="54"/>
      <c r="AU41" s="259">
        <f t="shared" si="18"/>
        <v>0</v>
      </c>
      <c r="AV41" s="290">
        <f t="shared" si="19"/>
        <v>2439062.5</v>
      </c>
      <c r="AW41" s="57" t="s">
        <v>219</v>
      </c>
      <c r="AX41" s="307"/>
      <c r="AY41" s="307"/>
      <c r="AZ41" s="307"/>
      <c r="BA41" s="307"/>
      <c r="BB41" s="307"/>
      <c r="BC41" s="307"/>
    </row>
    <row r="42" spans="1:55" s="57" customFormat="1" ht="15.75" x14ac:dyDescent="0.25">
      <c r="A42" s="289">
        <v>38</v>
      </c>
      <c r="B42" s="36" t="s">
        <v>136</v>
      </c>
      <c r="C42" s="36"/>
      <c r="D42" s="36" t="s">
        <v>74</v>
      </c>
      <c r="E42" s="58">
        <v>26</v>
      </c>
      <c r="F42" s="54">
        <v>4450000</v>
      </c>
      <c r="G42" s="54">
        <v>500000</v>
      </c>
      <c r="H42" s="54">
        <v>250000</v>
      </c>
      <c r="I42" s="54"/>
      <c r="J42" s="54"/>
      <c r="K42" s="54"/>
      <c r="L42" s="54">
        <v>300000</v>
      </c>
      <c r="M42" s="54">
        <v>1220000</v>
      </c>
      <c r="N42" s="54">
        <f t="shared" si="0"/>
        <v>6720000</v>
      </c>
      <c r="O42" s="59">
        <f>+VLOOKUP('Bảng tính lương moi( THUE LD2)'!D42,'Ngày công'!$C$6:$AI$57,33,0)</f>
        <v>7</v>
      </c>
      <c r="P42" s="56">
        <f>+VLOOKUP(D42,'Ngày công'!$C$6:$AN$57,38,0)</f>
        <v>38.5</v>
      </c>
      <c r="Q42" s="55">
        <f>+VLOOKUP('Bảng tính lương moi( THUE LD2)'!D42,'Ngày công'!$C$6:$AO$57,39,0)</f>
        <v>0</v>
      </c>
      <c r="R42" s="55">
        <f>+VLOOKUP(D42,'Ngày công'!$C$6:$AJ$57,34,0)</f>
        <v>0</v>
      </c>
      <c r="S42" s="55"/>
      <c r="T42" s="55">
        <f>'[1]CHẤM CÔNG'!DS44</f>
        <v>0</v>
      </c>
      <c r="U42" s="55"/>
      <c r="V42" s="54">
        <f t="shared" si="1"/>
        <v>1198076.923076923</v>
      </c>
      <c r="W42" s="54">
        <f t="shared" si="2"/>
        <v>823677.88461538462</v>
      </c>
      <c r="X42" s="54">
        <f t="shared" si="3"/>
        <v>0</v>
      </c>
      <c r="Y42" s="54">
        <f t="shared" si="4"/>
        <v>2021754.8076923075</v>
      </c>
      <c r="Z42" s="54">
        <f t="shared" si="5"/>
        <v>134615.38461538462</v>
      </c>
      <c r="AA42" s="54">
        <f t="shared" si="6"/>
        <v>67307.692307692312</v>
      </c>
      <c r="AB42" s="54">
        <f t="shared" si="7"/>
        <v>0</v>
      </c>
      <c r="AC42" s="54">
        <f t="shared" si="8"/>
        <v>0</v>
      </c>
      <c r="AD42" s="54">
        <f t="shared" si="9"/>
        <v>0</v>
      </c>
      <c r="AE42" s="54">
        <f t="shared" si="10"/>
        <v>80769.23076923078</v>
      </c>
      <c r="AF42" s="54">
        <f t="shared" si="11"/>
        <v>328461.53846153844</v>
      </c>
      <c r="AG42" s="54">
        <f t="shared" si="12"/>
        <v>611153.84615384624</v>
      </c>
      <c r="AH42" s="304">
        <f t="shared" si="13"/>
        <v>2632908.653846154</v>
      </c>
      <c r="AI42" s="254"/>
      <c r="AJ42" s="254"/>
      <c r="AK42" s="254"/>
      <c r="AL42" s="295">
        <v>11000000</v>
      </c>
      <c r="AM42" s="263">
        <f t="shared" si="14"/>
        <v>0</v>
      </c>
      <c r="AN42" s="295">
        <f t="shared" si="15"/>
        <v>11000000</v>
      </c>
      <c r="AO42" s="295">
        <f t="shared" si="16"/>
        <v>-8367091.346153846</v>
      </c>
      <c r="AP42" s="151">
        <f t="shared" si="17"/>
        <v>0</v>
      </c>
      <c r="AQ42" s="54">
        <f t="shared" si="20"/>
        <v>0</v>
      </c>
      <c r="AR42" s="54"/>
      <c r="AS42" s="54"/>
      <c r="AT42" s="54"/>
      <c r="AU42" s="259">
        <f t="shared" si="18"/>
        <v>0</v>
      </c>
      <c r="AV42" s="290">
        <f t="shared" si="19"/>
        <v>2632908.653846154</v>
      </c>
      <c r="AW42" s="57" t="s">
        <v>218</v>
      </c>
      <c r="AX42" s="307"/>
      <c r="AY42" s="307"/>
      <c r="AZ42" s="307"/>
      <c r="BA42" s="307"/>
      <c r="BB42" s="307"/>
      <c r="BC42" s="307"/>
    </row>
    <row r="43" spans="1:55" s="57" customFormat="1" ht="15.75" x14ac:dyDescent="0.25">
      <c r="A43" s="289">
        <v>39</v>
      </c>
      <c r="B43" s="36" t="s">
        <v>137</v>
      </c>
      <c r="C43" s="36"/>
      <c r="D43" s="36" t="s">
        <v>75</v>
      </c>
      <c r="E43" s="58">
        <v>26</v>
      </c>
      <c r="F43" s="54">
        <v>4450000</v>
      </c>
      <c r="G43" s="54"/>
      <c r="H43" s="54">
        <v>250000</v>
      </c>
      <c r="I43" s="54"/>
      <c r="J43" s="54">
        <v>500000</v>
      </c>
      <c r="K43" s="54">
        <v>500000</v>
      </c>
      <c r="L43" s="54">
        <v>300000</v>
      </c>
      <c r="M43" s="54">
        <v>1500000</v>
      </c>
      <c r="N43" s="54">
        <f>SUM(F43:M43)</f>
        <v>7500000</v>
      </c>
      <c r="O43" s="59">
        <f>+VLOOKUP('Bảng tính lương moi( THUE LD2)'!D43,'Ngày công'!$C$6:$AI$57,33,0)</f>
        <v>7</v>
      </c>
      <c r="P43" s="56">
        <f>+VLOOKUP(D43,'Ngày công'!$C$6:$AN$57,38,0)</f>
        <v>50.95</v>
      </c>
      <c r="Q43" s="55">
        <f>+VLOOKUP('Bảng tính lương moi( THUE LD2)'!D43,'Ngày công'!$C$6:$AO$57,39,0)</f>
        <v>0</v>
      </c>
      <c r="R43" s="55">
        <f>+VLOOKUP(D43,'Ngày công'!$C$6:$AJ$57,34,0)</f>
        <v>0</v>
      </c>
      <c r="S43" s="55"/>
      <c r="T43" s="55">
        <f>'[1]CHẤM CÔNG'!DS45</f>
        <v>0</v>
      </c>
      <c r="U43" s="55"/>
      <c r="V43" s="54">
        <f t="shared" si="1"/>
        <v>1198076.923076923</v>
      </c>
      <c r="W43" s="54">
        <f t="shared" si="2"/>
        <v>1090036.0576923077</v>
      </c>
      <c r="X43" s="54">
        <f t="shared" si="3"/>
        <v>0</v>
      </c>
      <c r="Y43" s="54">
        <f t="shared" si="4"/>
        <v>2288112.980769231</v>
      </c>
      <c r="Z43" s="54">
        <f t="shared" si="5"/>
        <v>0</v>
      </c>
      <c r="AA43" s="54">
        <f t="shared" si="6"/>
        <v>67307.692307692312</v>
      </c>
      <c r="AB43" s="54">
        <f t="shared" si="7"/>
        <v>0</v>
      </c>
      <c r="AC43" s="54">
        <f t="shared" si="8"/>
        <v>134615.38461538462</v>
      </c>
      <c r="AD43" s="54">
        <f>K43</f>
        <v>500000</v>
      </c>
      <c r="AE43" s="54">
        <f t="shared" si="10"/>
        <v>80769.23076923078</v>
      </c>
      <c r="AF43" s="54">
        <f t="shared" si="11"/>
        <v>403846.15384615387</v>
      </c>
      <c r="AG43" s="54">
        <f t="shared" si="12"/>
        <v>1186538.4615384615</v>
      </c>
      <c r="AH43" s="304">
        <f t="shared" si="13"/>
        <v>3474651.4423076925</v>
      </c>
      <c r="AI43" s="254"/>
      <c r="AJ43" s="254"/>
      <c r="AK43" s="254"/>
      <c r="AL43" s="295">
        <v>11000000</v>
      </c>
      <c r="AM43" s="263">
        <f t="shared" si="14"/>
        <v>0</v>
      </c>
      <c r="AN43" s="295">
        <f t="shared" si="15"/>
        <v>11000000</v>
      </c>
      <c r="AO43" s="295">
        <f t="shared" si="16"/>
        <v>-7525348.557692308</v>
      </c>
      <c r="AP43" s="151">
        <f t="shared" si="17"/>
        <v>0</v>
      </c>
      <c r="AQ43" s="54">
        <f t="shared" si="20"/>
        <v>0</v>
      </c>
      <c r="AR43" s="54"/>
      <c r="AS43" s="54"/>
      <c r="AT43" s="54"/>
      <c r="AU43" s="259">
        <f t="shared" si="18"/>
        <v>0</v>
      </c>
      <c r="AV43" s="290">
        <f t="shared" si="19"/>
        <v>3474651.4423076925</v>
      </c>
      <c r="AW43" s="57" t="s">
        <v>228</v>
      </c>
      <c r="AX43" s="307"/>
      <c r="AY43" s="307"/>
      <c r="AZ43" s="307"/>
      <c r="BA43" s="307"/>
      <c r="BB43" s="307"/>
      <c r="BC43" s="307"/>
    </row>
    <row r="44" spans="1:55" s="57" customFormat="1" ht="15.75" x14ac:dyDescent="0.25">
      <c r="A44" s="289">
        <v>40</v>
      </c>
      <c r="B44" s="36" t="s">
        <v>138</v>
      </c>
      <c r="C44" s="36"/>
      <c r="D44" s="36" t="s">
        <v>76</v>
      </c>
      <c r="E44" s="58">
        <v>26</v>
      </c>
      <c r="F44" s="54">
        <v>4855000</v>
      </c>
      <c r="G44" s="54"/>
      <c r="H44" s="54">
        <v>250000</v>
      </c>
      <c r="I44" s="54">
        <v>1000000</v>
      </c>
      <c r="J44" s="54">
        <v>500000</v>
      </c>
      <c r="K44" s="54">
        <v>500000</v>
      </c>
      <c r="L44" s="54">
        <v>300000</v>
      </c>
      <c r="M44" s="54">
        <v>2595000</v>
      </c>
      <c r="N44" s="54">
        <f t="shared" si="0"/>
        <v>10000000</v>
      </c>
      <c r="O44" s="59">
        <f>+VLOOKUP('Bảng tính lương moi( THUE LD2)'!D44,'Ngày công'!$C$6:$AI$57,33,0)</f>
        <v>7</v>
      </c>
      <c r="P44" s="56">
        <f>+VLOOKUP(D44,'Ngày công'!$C$6:$AN$57,38,0)</f>
        <v>58.6</v>
      </c>
      <c r="Q44" s="55">
        <f>+VLOOKUP('Bảng tính lương moi( THUE LD2)'!D44,'Ngày công'!$C$6:$AO$57,39,0)</f>
        <v>0</v>
      </c>
      <c r="R44" s="55">
        <f>+VLOOKUP(D44,'Ngày công'!$C$6:$AJ$57,34,0)</f>
        <v>0</v>
      </c>
      <c r="S44" s="55"/>
      <c r="T44" s="55">
        <f>'[1]CHẤM CÔNG'!DS46</f>
        <v>0</v>
      </c>
      <c r="U44" s="55"/>
      <c r="V44" s="54">
        <f t="shared" si="1"/>
        <v>1307115.3846153845</v>
      </c>
      <c r="W44" s="54">
        <f t="shared" si="2"/>
        <v>1367802.8846153845</v>
      </c>
      <c r="X44" s="54">
        <f t="shared" si="3"/>
        <v>0</v>
      </c>
      <c r="Y44" s="54">
        <f t="shared" si="4"/>
        <v>2674918.269230769</v>
      </c>
      <c r="Z44" s="54">
        <f>G44/E44*O44</f>
        <v>0</v>
      </c>
      <c r="AA44" s="54">
        <f t="shared" si="6"/>
        <v>67307.692307692312</v>
      </c>
      <c r="AB44" s="54">
        <f>I44/E44*O44</f>
        <v>269230.76923076925</v>
      </c>
      <c r="AC44" s="54">
        <f>J44/26*O44</f>
        <v>134615.38461538462</v>
      </c>
      <c r="AD44" s="54">
        <f>K44</f>
        <v>500000</v>
      </c>
      <c r="AE44" s="54">
        <f>L44/E44*O44</f>
        <v>80769.23076923078</v>
      </c>
      <c r="AF44" s="54">
        <f t="shared" si="11"/>
        <v>698653.84615384624</v>
      </c>
      <c r="AG44" s="54">
        <f>SUM(Z44:AF44)</f>
        <v>1750576.9230769232</v>
      </c>
      <c r="AH44" s="304">
        <f t="shared" si="13"/>
        <v>4425495.192307692</v>
      </c>
      <c r="AI44" s="254"/>
      <c r="AJ44" s="254"/>
      <c r="AK44" s="254"/>
      <c r="AL44" s="295">
        <v>11000000</v>
      </c>
      <c r="AM44" s="263">
        <f t="shared" si="14"/>
        <v>0</v>
      </c>
      <c r="AN44" s="295">
        <f t="shared" si="15"/>
        <v>11000000</v>
      </c>
      <c r="AO44" s="295">
        <f t="shared" si="16"/>
        <v>-6574504.807692308</v>
      </c>
      <c r="AP44" s="151">
        <f t="shared" si="17"/>
        <v>0</v>
      </c>
      <c r="AQ44" s="54">
        <f t="shared" si="20"/>
        <v>0</v>
      </c>
      <c r="AR44" s="54"/>
      <c r="AS44" s="54"/>
      <c r="AT44" s="54"/>
      <c r="AU44" s="259">
        <f t="shared" si="18"/>
        <v>0</v>
      </c>
      <c r="AV44" s="290">
        <f t="shared" si="19"/>
        <v>4425495.192307692</v>
      </c>
      <c r="AW44" s="57" t="s">
        <v>228</v>
      </c>
      <c r="AX44" s="307"/>
      <c r="AY44" s="307"/>
      <c r="AZ44" s="307"/>
      <c r="BA44" s="307"/>
      <c r="BB44" s="307"/>
      <c r="BC44" s="307"/>
    </row>
    <row r="45" spans="1:55" s="57" customFormat="1" ht="15.75" x14ac:dyDescent="0.25">
      <c r="A45" s="289">
        <v>41</v>
      </c>
      <c r="B45" s="36" t="s">
        <v>139</v>
      </c>
      <c r="C45" s="36"/>
      <c r="D45" s="36" t="s">
        <v>77</v>
      </c>
      <c r="E45" s="58">
        <v>26</v>
      </c>
      <c r="F45" s="54">
        <v>4450000</v>
      </c>
      <c r="G45" s="54">
        <v>500000</v>
      </c>
      <c r="H45" s="54">
        <v>250000</v>
      </c>
      <c r="I45" s="54"/>
      <c r="J45" s="54"/>
      <c r="K45" s="54"/>
      <c r="L45" s="54">
        <v>300000</v>
      </c>
      <c r="M45" s="54">
        <v>500000</v>
      </c>
      <c r="N45" s="54">
        <f t="shared" si="0"/>
        <v>6000000</v>
      </c>
      <c r="O45" s="59">
        <f>+VLOOKUP('Bảng tính lương moi( THUE LD2)'!D45,'Ngày công'!$C$6:$AI$57,33,0)</f>
        <v>7</v>
      </c>
      <c r="P45" s="56">
        <f>+VLOOKUP(D45,'Ngày công'!$C$6:$AN$57,38,0)</f>
        <v>38.5</v>
      </c>
      <c r="Q45" s="55">
        <f>+VLOOKUP('Bảng tính lương moi( THUE LD2)'!D45,'Ngày công'!$C$6:$AO$57,39,0)</f>
        <v>0</v>
      </c>
      <c r="R45" s="55">
        <f>+VLOOKUP(D45,'Ngày công'!$C$6:$AJ$57,34,0)</f>
        <v>0</v>
      </c>
      <c r="S45" s="55"/>
      <c r="T45" s="55">
        <f>'[1]CHẤM CÔNG'!DS47</f>
        <v>0</v>
      </c>
      <c r="U45" s="55"/>
      <c r="V45" s="54">
        <f t="shared" si="1"/>
        <v>1198076.923076923</v>
      </c>
      <c r="W45" s="54">
        <f t="shared" si="2"/>
        <v>823677.88461538462</v>
      </c>
      <c r="X45" s="54">
        <f t="shared" si="3"/>
        <v>0</v>
      </c>
      <c r="Y45" s="54">
        <f t="shared" si="4"/>
        <v>2021754.8076923075</v>
      </c>
      <c r="Z45" s="54">
        <f t="shared" si="5"/>
        <v>134615.38461538462</v>
      </c>
      <c r="AA45" s="54">
        <f t="shared" si="6"/>
        <v>67307.692307692312</v>
      </c>
      <c r="AB45" s="54">
        <f t="shared" si="7"/>
        <v>0</v>
      </c>
      <c r="AC45" s="54">
        <f t="shared" si="8"/>
        <v>0</v>
      </c>
      <c r="AD45" s="54">
        <f t="shared" si="9"/>
        <v>0</v>
      </c>
      <c r="AE45" s="54">
        <f t="shared" si="10"/>
        <v>80769.23076923078</v>
      </c>
      <c r="AF45" s="54">
        <f t="shared" si="11"/>
        <v>134615.38461538462</v>
      </c>
      <c r="AG45" s="54">
        <f t="shared" si="12"/>
        <v>417307.69230769237</v>
      </c>
      <c r="AH45" s="304">
        <f t="shared" si="13"/>
        <v>2439062.5</v>
      </c>
      <c r="AI45" s="254"/>
      <c r="AJ45" s="254"/>
      <c r="AK45" s="254"/>
      <c r="AL45" s="295">
        <v>11000000</v>
      </c>
      <c r="AM45" s="263">
        <f t="shared" si="14"/>
        <v>0</v>
      </c>
      <c r="AN45" s="295">
        <f t="shared" si="15"/>
        <v>11000000</v>
      </c>
      <c r="AO45" s="295">
        <f t="shared" si="16"/>
        <v>-8560937.5</v>
      </c>
      <c r="AP45" s="151">
        <f t="shared" si="17"/>
        <v>0</v>
      </c>
      <c r="AQ45" s="54">
        <f t="shared" si="20"/>
        <v>0</v>
      </c>
      <c r="AR45" s="54"/>
      <c r="AS45" s="54"/>
      <c r="AT45" s="54"/>
      <c r="AU45" s="259">
        <f t="shared" si="18"/>
        <v>0</v>
      </c>
      <c r="AV45" s="290">
        <f t="shared" si="19"/>
        <v>2439062.5</v>
      </c>
      <c r="AW45" s="57" t="s">
        <v>220</v>
      </c>
      <c r="AX45" s="307"/>
      <c r="AY45" s="307"/>
      <c r="AZ45" s="307"/>
      <c r="BA45" s="307"/>
      <c r="BB45" s="307"/>
      <c r="BC45" s="307"/>
    </row>
    <row r="46" spans="1:55" s="75" customFormat="1" ht="15.75" x14ac:dyDescent="0.25">
      <c r="A46" s="289">
        <v>42</v>
      </c>
      <c r="B46" s="38" t="s">
        <v>140</v>
      </c>
      <c r="C46" s="38"/>
      <c r="D46" s="37" t="s">
        <v>78</v>
      </c>
      <c r="E46" s="68">
        <v>26</v>
      </c>
      <c r="F46" s="69">
        <v>4150000</v>
      </c>
      <c r="G46" s="69">
        <v>500000</v>
      </c>
      <c r="H46" s="69">
        <v>250000</v>
      </c>
      <c r="I46" s="69"/>
      <c r="J46" s="69"/>
      <c r="K46" s="69"/>
      <c r="L46" s="69">
        <v>300000</v>
      </c>
      <c r="M46" s="69">
        <v>300000</v>
      </c>
      <c r="N46" s="69">
        <f>SUM(F46:M46)</f>
        <v>5500000</v>
      </c>
      <c r="O46" s="59">
        <f>+VLOOKUP('Bảng tính lương moi( THUE LD2)'!D46,'Ngày công'!$C$6:$AI$57,33,0)</f>
        <v>5</v>
      </c>
      <c r="P46" s="56">
        <f>+VLOOKUP(D46,'Ngày công'!$C$6:$AN$57,38,0)</f>
        <v>0</v>
      </c>
      <c r="Q46" s="55">
        <f>+VLOOKUP('Bảng tính lương moi( THUE LD2)'!D46,'Ngày công'!$C$6:$AO$57,39,0)</f>
        <v>0</v>
      </c>
      <c r="R46" s="55">
        <f>+VLOOKUP(D46,'Ngày công'!$C$6:$AJ$57,34,0)</f>
        <v>0</v>
      </c>
      <c r="S46" s="72"/>
      <c r="T46" s="72">
        <f>'[1]CHẤM CÔNG'!DS48</f>
        <v>0</v>
      </c>
      <c r="U46" s="72"/>
      <c r="V46" s="69">
        <f>F46/E46*O46</f>
        <v>798076.92307692312</v>
      </c>
      <c r="W46" s="69">
        <f>F46/E46/8*P46</f>
        <v>0</v>
      </c>
      <c r="X46" s="69">
        <f>F46/E46*Q46*3</f>
        <v>0</v>
      </c>
      <c r="Y46" s="69">
        <f>V46+W46+X46</f>
        <v>798076.92307692312</v>
      </c>
      <c r="Z46" s="69">
        <f>G46/E46*O46</f>
        <v>96153.846153846156</v>
      </c>
      <c r="AA46" s="69">
        <f>H46/E46*O46</f>
        <v>48076.923076923078</v>
      </c>
      <c r="AB46" s="69">
        <f>I46/E46*O46</f>
        <v>0</v>
      </c>
      <c r="AC46" s="69">
        <f>J46/26*O46</f>
        <v>0</v>
      </c>
      <c r="AD46" s="69">
        <f>K46</f>
        <v>0</v>
      </c>
      <c r="AE46" s="69">
        <f>L46/E46*O46</f>
        <v>57692.307692307695</v>
      </c>
      <c r="AF46" s="69">
        <f>M46/E46*O46</f>
        <v>57692.307692307695</v>
      </c>
      <c r="AG46" s="69">
        <f>SUM(Z46:AF46)</f>
        <v>259615.38461538462</v>
      </c>
      <c r="AH46" s="304">
        <f t="shared" si="13"/>
        <v>1057692.3076923077</v>
      </c>
      <c r="AI46" s="254"/>
      <c r="AJ46" s="254"/>
      <c r="AK46" s="254"/>
      <c r="AL46" s="295">
        <v>11000000</v>
      </c>
      <c r="AM46" s="263">
        <f t="shared" si="14"/>
        <v>0</v>
      </c>
      <c r="AN46" s="295">
        <f t="shared" si="15"/>
        <v>11000000</v>
      </c>
      <c r="AO46" s="295">
        <f t="shared" si="16"/>
        <v>-9942307.692307692</v>
      </c>
      <c r="AP46" s="151">
        <f t="shared" si="17"/>
        <v>0</v>
      </c>
      <c r="AQ46" s="69">
        <f>F46/E46/8*T46</f>
        <v>0</v>
      </c>
      <c r="AR46" s="69"/>
      <c r="AS46" s="69"/>
      <c r="AT46" s="69"/>
      <c r="AU46" s="259">
        <f t="shared" si="18"/>
        <v>0</v>
      </c>
      <c r="AV46" s="293">
        <f>Y46+AG46-AU46</f>
        <v>1057692.3076923077</v>
      </c>
      <c r="AW46" s="75" t="s">
        <v>217</v>
      </c>
      <c r="AX46" s="309"/>
      <c r="AY46" s="309"/>
      <c r="AZ46" s="309"/>
      <c r="BA46" s="309"/>
      <c r="BB46" s="309"/>
      <c r="BC46" s="309"/>
    </row>
    <row r="47" spans="1:55" s="75" customFormat="1" ht="15.75" x14ac:dyDescent="0.25">
      <c r="A47" s="289">
        <v>43</v>
      </c>
      <c r="B47" s="38" t="s">
        <v>141</v>
      </c>
      <c r="C47" s="38"/>
      <c r="D47" s="38" t="s">
        <v>79</v>
      </c>
      <c r="E47" s="68">
        <v>26</v>
      </c>
      <c r="F47" s="69">
        <v>4450000</v>
      </c>
      <c r="G47" s="69">
        <v>500000</v>
      </c>
      <c r="H47" s="69">
        <v>250000</v>
      </c>
      <c r="I47" s="69"/>
      <c r="J47" s="69"/>
      <c r="K47" s="69"/>
      <c r="L47" s="69">
        <v>300000</v>
      </c>
      <c r="M47" s="69">
        <v>500000</v>
      </c>
      <c r="N47" s="69">
        <f t="shared" si="0"/>
        <v>6000000</v>
      </c>
      <c r="O47" s="70">
        <f>+VLOOKUP('Bảng tính lương moi( THUE LD2)'!D47,'Ngày công'!$C$6:$AI$57,33,0)</f>
        <v>6</v>
      </c>
      <c r="P47" s="71">
        <f>+VLOOKUP(D47,'Ngày công'!$C$6:$AN$57,38,0)</f>
        <v>41.5</v>
      </c>
      <c r="Q47" s="72">
        <f>+VLOOKUP('Bảng tính lương moi( THUE LD2)'!D47,'Ngày công'!$C$6:$AO$57,39,0)</f>
        <v>0</v>
      </c>
      <c r="R47" s="72">
        <f>+VLOOKUP(D47,'Ngày công'!$C$6:$AJ$57,34,0)</f>
        <v>0</v>
      </c>
      <c r="S47" s="72"/>
      <c r="T47" s="72">
        <f>'[1]CHẤM CÔNG'!DS49</f>
        <v>0</v>
      </c>
      <c r="U47" s="72"/>
      <c r="V47" s="69">
        <f t="shared" si="1"/>
        <v>1026923.076923077</v>
      </c>
      <c r="W47" s="69">
        <f t="shared" si="2"/>
        <v>887860.57692307688</v>
      </c>
      <c r="X47" s="69">
        <f t="shared" si="3"/>
        <v>0</v>
      </c>
      <c r="Y47" s="69">
        <f t="shared" si="4"/>
        <v>1914783.653846154</v>
      </c>
      <c r="Z47" s="69">
        <f t="shared" si="5"/>
        <v>115384.61538461538</v>
      </c>
      <c r="AA47" s="69">
        <f t="shared" si="6"/>
        <v>57692.307692307688</v>
      </c>
      <c r="AB47" s="69">
        <f t="shared" si="7"/>
        <v>0</v>
      </c>
      <c r="AC47" s="69">
        <f t="shared" si="8"/>
        <v>0</v>
      </c>
      <c r="AD47" s="69">
        <f t="shared" si="9"/>
        <v>0</v>
      </c>
      <c r="AE47" s="69">
        <f t="shared" si="10"/>
        <v>69230.769230769234</v>
      </c>
      <c r="AF47" s="69">
        <f t="shared" si="11"/>
        <v>115384.61538461538</v>
      </c>
      <c r="AG47" s="69">
        <f t="shared" si="12"/>
        <v>357692.30769230769</v>
      </c>
      <c r="AH47" s="304">
        <f t="shared" si="13"/>
        <v>2272475.9615384615</v>
      </c>
      <c r="AI47" s="254"/>
      <c r="AJ47" s="254"/>
      <c r="AK47" s="254"/>
      <c r="AL47" s="295">
        <v>11000000</v>
      </c>
      <c r="AM47" s="263">
        <f t="shared" si="14"/>
        <v>0</v>
      </c>
      <c r="AN47" s="295">
        <f t="shared" si="15"/>
        <v>11000000</v>
      </c>
      <c r="AO47" s="295">
        <f t="shared" si="16"/>
        <v>-8727524.038461538</v>
      </c>
      <c r="AP47" s="151">
        <f t="shared" si="17"/>
        <v>0</v>
      </c>
      <c r="AQ47" s="69">
        <f t="shared" si="20"/>
        <v>0</v>
      </c>
      <c r="AR47" s="69"/>
      <c r="AS47" s="69"/>
      <c r="AT47" s="69"/>
      <c r="AU47" s="259">
        <f t="shared" si="18"/>
        <v>0</v>
      </c>
      <c r="AV47" s="293">
        <f t="shared" si="19"/>
        <v>2272475.9615384615</v>
      </c>
      <c r="AW47" s="75" t="s">
        <v>217</v>
      </c>
      <c r="AX47" s="309"/>
      <c r="AY47" s="309"/>
      <c r="AZ47" s="309"/>
      <c r="BA47" s="309"/>
      <c r="BB47" s="309"/>
      <c r="BC47" s="309"/>
    </row>
    <row r="48" spans="1:55" s="81" customFormat="1" ht="15.75" x14ac:dyDescent="0.25">
      <c r="A48" s="289">
        <v>45</v>
      </c>
      <c r="B48" s="38" t="s">
        <v>143</v>
      </c>
      <c r="C48" s="38"/>
      <c r="D48" s="37" t="s">
        <v>81</v>
      </c>
      <c r="E48" s="68">
        <v>26</v>
      </c>
      <c r="F48" s="69">
        <v>5000000</v>
      </c>
      <c r="G48" s="69">
        <v>500000</v>
      </c>
      <c r="H48" s="69">
        <v>250000</v>
      </c>
      <c r="I48" s="69"/>
      <c r="J48" s="69"/>
      <c r="K48" s="69">
        <v>450000</v>
      </c>
      <c r="L48" s="69">
        <v>300000</v>
      </c>
      <c r="M48" s="69">
        <v>500000</v>
      </c>
      <c r="N48" s="69">
        <f t="shared" si="0"/>
        <v>7000000</v>
      </c>
      <c r="O48" s="70">
        <f>+VLOOKUP('Bảng tính lương moi( THUE LD2)'!D48,'Ngày công'!$C$6:$AI$57,33,0)</f>
        <v>9</v>
      </c>
      <c r="P48" s="71">
        <f>+VLOOKUP(D48,'Ngày công'!$C$6:$AN$57,38,0)</f>
        <v>17.5</v>
      </c>
      <c r="Q48" s="72">
        <f>+VLOOKUP('Bảng tính lương moi( THUE LD2)'!D48,'Ngày công'!$C$6:$AO$57,39,0)</f>
        <v>0</v>
      </c>
      <c r="R48" s="72">
        <f>+VLOOKUP(D48,'Ngày công'!$C$6:$AJ$57,34,0)</f>
        <v>0</v>
      </c>
      <c r="S48" s="72"/>
      <c r="T48" s="72">
        <f>'[1]CHẤM CÔNG'!DS51</f>
        <v>0</v>
      </c>
      <c r="U48" s="72"/>
      <c r="V48" s="69">
        <f t="shared" si="1"/>
        <v>1730769.2307692308</v>
      </c>
      <c r="W48" s="69">
        <f t="shared" si="2"/>
        <v>420673.07692307694</v>
      </c>
      <c r="X48" s="69">
        <f t="shared" si="3"/>
        <v>0</v>
      </c>
      <c r="Y48" s="69">
        <f t="shared" si="4"/>
        <v>2151442.3076923075</v>
      </c>
      <c r="Z48" s="69">
        <f t="shared" si="5"/>
        <v>173076.92307692306</v>
      </c>
      <c r="AA48" s="69">
        <f t="shared" si="6"/>
        <v>86538.461538461532</v>
      </c>
      <c r="AB48" s="69">
        <f t="shared" si="7"/>
        <v>0</v>
      </c>
      <c r="AC48" s="69">
        <f t="shared" si="8"/>
        <v>0</v>
      </c>
      <c r="AD48" s="69">
        <f t="shared" si="9"/>
        <v>450000</v>
      </c>
      <c r="AE48" s="69">
        <f t="shared" si="10"/>
        <v>103846.15384615384</v>
      </c>
      <c r="AF48" s="69">
        <f t="shared" si="11"/>
        <v>173076.92307692306</v>
      </c>
      <c r="AG48" s="69">
        <f t="shared" si="12"/>
        <v>986538.4615384615</v>
      </c>
      <c r="AH48" s="304">
        <f t="shared" si="13"/>
        <v>3137980.769230769</v>
      </c>
      <c r="AI48" s="254"/>
      <c r="AJ48" s="254"/>
      <c r="AK48" s="254"/>
      <c r="AL48" s="295">
        <v>11000000</v>
      </c>
      <c r="AM48" s="263">
        <f t="shared" si="14"/>
        <v>0</v>
      </c>
      <c r="AN48" s="295">
        <f t="shared" si="15"/>
        <v>11000000</v>
      </c>
      <c r="AO48" s="295">
        <f t="shared" si="16"/>
        <v>-7862019.230769231</v>
      </c>
      <c r="AP48" s="151">
        <f t="shared" si="17"/>
        <v>0</v>
      </c>
      <c r="AQ48" s="69">
        <f t="shared" si="20"/>
        <v>0</v>
      </c>
      <c r="AR48" s="69"/>
      <c r="AS48" s="69"/>
      <c r="AT48" s="69"/>
      <c r="AU48" s="259">
        <f t="shared" si="18"/>
        <v>0</v>
      </c>
      <c r="AV48" s="293">
        <f t="shared" si="19"/>
        <v>3137980.769230769</v>
      </c>
      <c r="AX48" s="310"/>
      <c r="AY48" s="310"/>
      <c r="AZ48" s="310"/>
      <c r="BA48" s="310"/>
      <c r="BB48" s="310"/>
      <c r="BC48" s="310"/>
    </row>
    <row r="49" spans="1:55" s="81" customFormat="1" ht="15.75" x14ac:dyDescent="0.25">
      <c r="A49" s="289">
        <v>46</v>
      </c>
      <c r="B49" s="51" t="s">
        <v>144</v>
      </c>
      <c r="C49" s="51"/>
      <c r="D49" s="52" t="s">
        <v>82</v>
      </c>
      <c r="E49" s="76">
        <v>26</v>
      </c>
      <c r="F49" s="77">
        <v>4450000</v>
      </c>
      <c r="G49" s="77">
        <v>500000</v>
      </c>
      <c r="H49" s="77">
        <v>250000</v>
      </c>
      <c r="I49" s="77"/>
      <c r="J49" s="77"/>
      <c r="K49" s="77"/>
      <c r="L49" s="77">
        <v>300000</v>
      </c>
      <c r="M49" s="77">
        <v>500000</v>
      </c>
      <c r="N49" s="77">
        <f t="shared" si="0"/>
        <v>6000000</v>
      </c>
      <c r="O49" s="59">
        <f>+VLOOKUP('Bảng tính lương moi( THUE LD2)'!D49,'Ngày công'!$C$6:$AI$57,33,0)</f>
        <v>3</v>
      </c>
      <c r="P49" s="56">
        <f>+VLOOKUP(D49,'Ngày công'!$C$6:$AN$57,38,0)</f>
        <v>17.25</v>
      </c>
      <c r="Q49" s="55">
        <f>+VLOOKUP('Bảng tính lương moi( THUE LD2)'!D49,'Ngày công'!$C$6:$AO$57,39,0)</f>
        <v>0</v>
      </c>
      <c r="R49" s="55">
        <f>+VLOOKUP(D49,'Ngày công'!$C$6:$AJ$57,34,0)</f>
        <v>0</v>
      </c>
      <c r="S49" s="78"/>
      <c r="T49" s="78">
        <f>'[1]CHẤM CÔNG'!DS52</f>
        <v>0</v>
      </c>
      <c r="U49" s="78"/>
      <c r="V49" s="77">
        <f t="shared" si="1"/>
        <v>513461.5384615385</v>
      </c>
      <c r="W49" s="77">
        <f t="shared" si="2"/>
        <v>369050.48076923075</v>
      </c>
      <c r="X49" s="77">
        <f t="shared" si="3"/>
        <v>0</v>
      </c>
      <c r="Y49" s="77">
        <f t="shared" si="4"/>
        <v>882512.01923076925</v>
      </c>
      <c r="Z49" s="77">
        <f>G49/E49*O49</f>
        <v>57692.307692307688</v>
      </c>
      <c r="AA49" s="77">
        <f t="shared" si="6"/>
        <v>28846.153846153844</v>
      </c>
      <c r="AB49" s="77">
        <f t="shared" si="7"/>
        <v>0</v>
      </c>
      <c r="AC49" s="77">
        <f t="shared" si="8"/>
        <v>0</v>
      </c>
      <c r="AD49" s="77">
        <f t="shared" si="9"/>
        <v>0</v>
      </c>
      <c r="AE49" s="77">
        <f t="shared" si="10"/>
        <v>34615.384615384617</v>
      </c>
      <c r="AF49" s="77">
        <f t="shared" si="11"/>
        <v>57692.307692307688</v>
      </c>
      <c r="AG49" s="77">
        <f t="shared" si="12"/>
        <v>178846.15384615384</v>
      </c>
      <c r="AH49" s="304">
        <f t="shared" si="13"/>
        <v>1061358.173076923</v>
      </c>
      <c r="AI49" s="254"/>
      <c r="AJ49" s="254"/>
      <c r="AK49" s="254"/>
      <c r="AL49" s="295">
        <v>11000000</v>
      </c>
      <c r="AM49" s="263">
        <f t="shared" si="14"/>
        <v>0</v>
      </c>
      <c r="AN49" s="295">
        <f t="shared" si="15"/>
        <v>11000000</v>
      </c>
      <c r="AO49" s="295">
        <f t="shared" si="16"/>
        <v>-9938641.8269230761</v>
      </c>
      <c r="AP49" s="151">
        <f t="shared" si="17"/>
        <v>0</v>
      </c>
      <c r="AQ49" s="77">
        <f t="shared" si="20"/>
        <v>0</v>
      </c>
      <c r="AR49" s="77"/>
      <c r="AS49" s="77"/>
      <c r="AT49" s="77"/>
      <c r="AU49" s="259">
        <f t="shared" si="18"/>
        <v>0</v>
      </c>
      <c r="AV49" s="294">
        <f t="shared" si="19"/>
        <v>1061358.173076923</v>
      </c>
      <c r="AW49" s="81" t="s">
        <v>222</v>
      </c>
      <c r="AX49" s="310"/>
      <c r="AY49" s="310"/>
      <c r="AZ49" s="310"/>
      <c r="BA49" s="310"/>
      <c r="BB49" s="310"/>
      <c r="BC49" s="310"/>
    </row>
    <row r="50" spans="1:55" s="81" customFormat="1" ht="15.75" x14ac:dyDescent="0.25">
      <c r="A50" s="289">
        <v>47</v>
      </c>
      <c r="B50" s="51" t="s">
        <v>145</v>
      </c>
      <c r="C50" s="51"/>
      <c r="D50" s="52" t="s">
        <v>83</v>
      </c>
      <c r="E50" s="76">
        <v>26</v>
      </c>
      <c r="F50" s="77">
        <v>4450000</v>
      </c>
      <c r="G50" s="77">
        <v>500000</v>
      </c>
      <c r="H50" s="77">
        <v>250000</v>
      </c>
      <c r="I50" s="77"/>
      <c r="J50" s="77"/>
      <c r="K50" s="77"/>
      <c r="L50" s="77">
        <v>300000</v>
      </c>
      <c r="M50" s="77">
        <v>500000</v>
      </c>
      <c r="N50" s="77">
        <f t="shared" si="0"/>
        <v>6000000</v>
      </c>
      <c r="O50" s="59">
        <f>+VLOOKUP('Bảng tính lương moi( THUE LD2)'!D50,'Ngày công'!$C$6:$AI$57,33,0)</f>
        <v>4</v>
      </c>
      <c r="P50" s="56">
        <f>+VLOOKUP(D50,'Ngày công'!$C$6:$AN$57,38,0)</f>
        <v>29.7</v>
      </c>
      <c r="Q50" s="55">
        <f>+VLOOKUP('Bảng tính lương moi( THUE LD2)'!D50,'Ngày công'!$C$6:$AO$57,39,0)</f>
        <v>0</v>
      </c>
      <c r="R50" s="55">
        <f>+VLOOKUP(D50,'Ngày công'!$C$6:$AJ$57,34,0)</f>
        <v>0</v>
      </c>
      <c r="S50" s="78"/>
      <c r="T50" s="78">
        <f>'[1]CHẤM CÔNG'!DS53</f>
        <v>0</v>
      </c>
      <c r="U50" s="78"/>
      <c r="V50" s="77">
        <f t="shared" si="1"/>
        <v>684615.38461538462</v>
      </c>
      <c r="W50" s="77">
        <f t="shared" si="2"/>
        <v>635408.65384615387</v>
      </c>
      <c r="X50" s="77">
        <f t="shared" si="3"/>
        <v>0</v>
      </c>
      <c r="Y50" s="77">
        <f t="shared" si="4"/>
        <v>1320024.0384615385</v>
      </c>
      <c r="Z50" s="77">
        <f t="shared" si="5"/>
        <v>76923.076923076922</v>
      </c>
      <c r="AA50" s="77">
        <f t="shared" si="6"/>
        <v>38461.538461538461</v>
      </c>
      <c r="AB50" s="77">
        <f t="shared" si="7"/>
        <v>0</v>
      </c>
      <c r="AC50" s="77">
        <f t="shared" si="8"/>
        <v>0</v>
      </c>
      <c r="AD50" s="77">
        <f t="shared" si="9"/>
        <v>0</v>
      </c>
      <c r="AE50" s="77">
        <f t="shared" si="10"/>
        <v>46153.846153846156</v>
      </c>
      <c r="AF50" s="77">
        <f t="shared" si="11"/>
        <v>76923.076923076922</v>
      </c>
      <c r="AG50" s="77">
        <f t="shared" si="12"/>
        <v>238461.53846153844</v>
      </c>
      <c r="AH50" s="304">
        <f t="shared" si="13"/>
        <v>1558485.576923077</v>
      </c>
      <c r="AI50" s="254"/>
      <c r="AJ50" s="254"/>
      <c r="AK50" s="254"/>
      <c r="AL50" s="295">
        <v>11000000</v>
      </c>
      <c r="AM50" s="263">
        <f t="shared" si="14"/>
        <v>0</v>
      </c>
      <c r="AN50" s="295">
        <f t="shared" si="15"/>
        <v>11000000</v>
      </c>
      <c r="AO50" s="295">
        <f t="shared" si="16"/>
        <v>-9441514.4230769239</v>
      </c>
      <c r="AP50" s="151">
        <f t="shared" si="17"/>
        <v>0</v>
      </c>
      <c r="AQ50" s="77">
        <f t="shared" si="20"/>
        <v>0</v>
      </c>
      <c r="AR50" s="77"/>
      <c r="AS50" s="77"/>
      <c r="AT50" s="77"/>
      <c r="AU50" s="259">
        <f t="shared" si="18"/>
        <v>0</v>
      </c>
      <c r="AV50" s="294">
        <f t="shared" si="19"/>
        <v>1558485.576923077</v>
      </c>
      <c r="AW50" s="81" t="s">
        <v>227</v>
      </c>
      <c r="AX50" s="310"/>
      <c r="AY50" s="310"/>
      <c r="AZ50" s="310"/>
      <c r="BA50" s="310"/>
      <c r="BB50" s="310"/>
      <c r="BC50" s="310"/>
    </row>
    <row r="51" spans="1:55" s="81" customFormat="1" ht="15.75" x14ac:dyDescent="0.25">
      <c r="A51" s="289">
        <v>48</v>
      </c>
      <c r="B51" s="51" t="s">
        <v>146</v>
      </c>
      <c r="C51" s="51"/>
      <c r="D51" s="52" t="s">
        <v>84</v>
      </c>
      <c r="E51" s="76">
        <v>26</v>
      </c>
      <c r="F51" s="77">
        <v>4450000</v>
      </c>
      <c r="G51" s="77">
        <v>500000</v>
      </c>
      <c r="H51" s="77">
        <v>250000</v>
      </c>
      <c r="I51" s="77"/>
      <c r="J51" s="77"/>
      <c r="K51" s="77"/>
      <c r="L51" s="77">
        <v>300000</v>
      </c>
      <c r="M51" s="77">
        <v>500000</v>
      </c>
      <c r="N51" s="77">
        <f t="shared" ref="N51:N54" si="21">SUM(F51:M51)</f>
        <v>6000000</v>
      </c>
      <c r="O51" s="59">
        <f>+VLOOKUP('Bảng tính lương moi( THUE LD2)'!D51,'Ngày công'!$C$6:$AI$57,33,0)</f>
        <v>4</v>
      </c>
      <c r="P51" s="56">
        <f>+VLOOKUP(D51,'Ngày công'!$C$6:$AN$57,38,0)</f>
        <v>29.7</v>
      </c>
      <c r="Q51" s="55">
        <f>+VLOOKUP('Bảng tính lương moi( THUE LD2)'!D51,'Ngày công'!$C$6:$AO$57,39,0)</f>
        <v>0</v>
      </c>
      <c r="R51" s="55">
        <f>+VLOOKUP(D51,'Ngày công'!$C$6:$AJ$57,34,0)</f>
        <v>0</v>
      </c>
      <c r="S51" s="78"/>
      <c r="T51" s="78">
        <f>'[1]CHẤM CÔNG'!DS54</f>
        <v>0</v>
      </c>
      <c r="U51" s="78"/>
      <c r="V51" s="77">
        <f t="shared" si="1"/>
        <v>684615.38461538462</v>
      </c>
      <c r="W51" s="77">
        <f t="shared" si="2"/>
        <v>635408.65384615387</v>
      </c>
      <c r="X51" s="77">
        <f t="shared" si="3"/>
        <v>0</v>
      </c>
      <c r="Y51" s="77">
        <f t="shared" si="4"/>
        <v>1320024.0384615385</v>
      </c>
      <c r="Z51" s="77">
        <f t="shared" si="5"/>
        <v>76923.076923076922</v>
      </c>
      <c r="AA51" s="77">
        <f t="shared" si="6"/>
        <v>38461.538461538461</v>
      </c>
      <c r="AB51" s="77">
        <f t="shared" si="7"/>
        <v>0</v>
      </c>
      <c r="AC51" s="77">
        <f t="shared" si="8"/>
        <v>0</v>
      </c>
      <c r="AD51" s="77">
        <f t="shared" si="9"/>
        <v>0</v>
      </c>
      <c r="AE51" s="77">
        <f t="shared" si="10"/>
        <v>46153.846153846156</v>
      </c>
      <c r="AF51" s="77">
        <f t="shared" si="11"/>
        <v>76923.076923076922</v>
      </c>
      <c r="AG51" s="77">
        <f t="shared" si="12"/>
        <v>238461.53846153844</v>
      </c>
      <c r="AH51" s="304">
        <f t="shared" si="13"/>
        <v>1558485.576923077</v>
      </c>
      <c r="AI51" s="254"/>
      <c r="AJ51" s="254"/>
      <c r="AK51" s="254"/>
      <c r="AL51" s="295">
        <v>11000000</v>
      </c>
      <c r="AM51" s="263">
        <f t="shared" si="14"/>
        <v>0</v>
      </c>
      <c r="AN51" s="295">
        <f t="shared" si="15"/>
        <v>11000000</v>
      </c>
      <c r="AO51" s="295">
        <f t="shared" si="16"/>
        <v>-9441514.4230769239</v>
      </c>
      <c r="AP51" s="151">
        <f t="shared" si="17"/>
        <v>0</v>
      </c>
      <c r="AQ51" s="77">
        <f t="shared" si="20"/>
        <v>0</v>
      </c>
      <c r="AR51" s="77"/>
      <c r="AS51" s="77"/>
      <c r="AT51" s="77"/>
      <c r="AU51" s="259">
        <f t="shared" si="18"/>
        <v>0</v>
      </c>
      <c r="AV51" s="294">
        <f t="shared" si="19"/>
        <v>1558485.576923077</v>
      </c>
      <c r="AW51" s="81" t="s">
        <v>226</v>
      </c>
      <c r="AX51" s="310"/>
      <c r="AY51" s="310"/>
      <c r="AZ51" s="310"/>
      <c r="BA51" s="310"/>
      <c r="BB51" s="310"/>
      <c r="BC51" s="310"/>
    </row>
    <row r="52" spans="1:55" s="81" customFormat="1" ht="15.75" x14ac:dyDescent="0.25">
      <c r="A52" s="289">
        <v>49</v>
      </c>
      <c r="B52" s="51" t="s">
        <v>147</v>
      </c>
      <c r="C52" s="51"/>
      <c r="D52" s="52" t="s">
        <v>85</v>
      </c>
      <c r="E52" s="76">
        <v>26</v>
      </c>
      <c r="F52" s="77">
        <v>4450000</v>
      </c>
      <c r="G52" s="77">
        <v>500000</v>
      </c>
      <c r="H52" s="77">
        <v>250000</v>
      </c>
      <c r="I52" s="77"/>
      <c r="J52" s="77"/>
      <c r="K52" s="77"/>
      <c r="L52" s="77">
        <v>300000</v>
      </c>
      <c r="M52" s="77">
        <v>500000</v>
      </c>
      <c r="N52" s="77">
        <f t="shared" si="21"/>
        <v>6000000</v>
      </c>
      <c r="O52" s="59">
        <f>+VLOOKUP('Bảng tính lương moi( THUE LD2)'!D52,'Ngày công'!$C$6:$AI$57,33,0)</f>
        <v>3</v>
      </c>
      <c r="P52" s="56">
        <f>+VLOOKUP(D52,'Ngày công'!$C$6:$AN$57,38,0)</f>
        <v>13.5</v>
      </c>
      <c r="Q52" s="55">
        <f>+VLOOKUP('Bảng tính lương moi( THUE LD2)'!D52,'Ngày công'!$C$6:$AO$57,39,0)</f>
        <v>0</v>
      </c>
      <c r="R52" s="55">
        <f>+VLOOKUP(D52,'Ngày công'!$C$6:$AJ$57,34,0)</f>
        <v>0</v>
      </c>
      <c r="S52" s="78"/>
      <c r="T52" s="78">
        <f>'[1]CHẤM CÔNG'!DS55</f>
        <v>0</v>
      </c>
      <c r="U52" s="78"/>
      <c r="V52" s="77">
        <f t="shared" si="1"/>
        <v>513461.5384615385</v>
      </c>
      <c r="W52" s="77">
        <f t="shared" si="2"/>
        <v>288822.11538461538</v>
      </c>
      <c r="X52" s="77">
        <f t="shared" si="3"/>
        <v>0</v>
      </c>
      <c r="Y52" s="77">
        <f t="shared" si="4"/>
        <v>802283.65384615387</v>
      </c>
      <c r="Z52" s="77">
        <f t="shared" si="5"/>
        <v>57692.307692307688</v>
      </c>
      <c r="AA52" s="77">
        <f t="shared" si="6"/>
        <v>28846.153846153844</v>
      </c>
      <c r="AB52" s="77">
        <f t="shared" si="7"/>
        <v>0</v>
      </c>
      <c r="AC52" s="77">
        <f t="shared" si="8"/>
        <v>0</v>
      </c>
      <c r="AD52" s="77">
        <f t="shared" si="9"/>
        <v>0</v>
      </c>
      <c r="AE52" s="77">
        <f t="shared" si="10"/>
        <v>34615.384615384617</v>
      </c>
      <c r="AF52" s="77">
        <f t="shared" si="11"/>
        <v>57692.307692307688</v>
      </c>
      <c r="AG52" s="77">
        <f t="shared" si="12"/>
        <v>178846.15384615384</v>
      </c>
      <c r="AH52" s="304">
        <f t="shared" si="13"/>
        <v>981129.80769230775</v>
      </c>
      <c r="AI52" s="254"/>
      <c r="AJ52" s="254"/>
      <c r="AK52" s="254"/>
      <c r="AL52" s="295">
        <v>11000000</v>
      </c>
      <c r="AM52" s="263">
        <f t="shared" si="14"/>
        <v>0</v>
      </c>
      <c r="AN52" s="295">
        <f t="shared" si="15"/>
        <v>11000000</v>
      </c>
      <c r="AO52" s="295">
        <f t="shared" si="16"/>
        <v>-10018870.192307692</v>
      </c>
      <c r="AP52" s="151">
        <f t="shared" si="17"/>
        <v>0</v>
      </c>
      <c r="AQ52" s="77">
        <f t="shared" si="20"/>
        <v>0</v>
      </c>
      <c r="AR52" s="77"/>
      <c r="AS52" s="77"/>
      <c r="AT52" s="77"/>
      <c r="AU52" s="259">
        <f t="shared" si="18"/>
        <v>0</v>
      </c>
      <c r="AV52" s="294">
        <f t="shared" si="19"/>
        <v>981129.80769230775</v>
      </c>
      <c r="AW52" s="81" t="s">
        <v>225</v>
      </c>
      <c r="AX52" s="310"/>
      <c r="AY52" s="310"/>
      <c r="AZ52" s="310"/>
      <c r="BA52" s="310"/>
      <c r="BB52" s="310"/>
      <c r="BC52" s="310"/>
    </row>
    <row r="53" spans="1:55" s="81" customFormat="1" ht="15.75" x14ac:dyDescent="0.25">
      <c r="A53" s="289">
        <v>50</v>
      </c>
      <c r="B53" s="51" t="s">
        <v>148</v>
      </c>
      <c r="C53" s="51"/>
      <c r="D53" s="52" t="s">
        <v>86</v>
      </c>
      <c r="E53" s="76">
        <v>26</v>
      </c>
      <c r="F53" s="77">
        <v>4450000</v>
      </c>
      <c r="G53" s="77">
        <v>500000</v>
      </c>
      <c r="H53" s="77">
        <v>250000</v>
      </c>
      <c r="I53" s="77"/>
      <c r="J53" s="77"/>
      <c r="K53" s="77"/>
      <c r="L53" s="77">
        <v>300000</v>
      </c>
      <c r="M53" s="77">
        <v>500000</v>
      </c>
      <c r="N53" s="77">
        <f t="shared" si="21"/>
        <v>6000000</v>
      </c>
      <c r="O53" s="59">
        <f>+VLOOKUP('Bảng tính lương moi( THUE LD2)'!D53,'Ngày công'!$C$6:$AI$57,33,0)</f>
        <v>3</v>
      </c>
      <c r="P53" s="56">
        <f>+VLOOKUP(D53,'Ngày công'!$C$6:$AN$57,38,0)</f>
        <v>14.25</v>
      </c>
      <c r="Q53" s="55">
        <f>+VLOOKUP('Bảng tính lương moi( THUE LD2)'!D53,'Ngày công'!$C$6:$AO$57,39,0)</f>
        <v>0</v>
      </c>
      <c r="R53" s="55">
        <f>+VLOOKUP(D53,'Ngày công'!$C$6:$AJ$57,34,0)</f>
        <v>0</v>
      </c>
      <c r="S53" s="78"/>
      <c r="T53" s="78">
        <f>'[1]CHẤM CÔNG'!DS56</f>
        <v>0</v>
      </c>
      <c r="U53" s="78"/>
      <c r="V53" s="77">
        <f t="shared" si="1"/>
        <v>513461.5384615385</v>
      </c>
      <c r="W53" s="77">
        <f t="shared" si="2"/>
        <v>304867.78846153844</v>
      </c>
      <c r="X53" s="77">
        <f t="shared" si="3"/>
        <v>0</v>
      </c>
      <c r="Y53" s="77">
        <f t="shared" si="4"/>
        <v>818329.32692307699</v>
      </c>
      <c r="Z53" s="77">
        <f t="shared" si="5"/>
        <v>57692.307692307688</v>
      </c>
      <c r="AA53" s="77">
        <f t="shared" si="6"/>
        <v>28846.153846153844</v>
      </c>
      <c r="AB53" s="77">
        <f t="shared" si="7"/>
        <v>0</v>
      </c>
      <c r="AC53" s="77">
        <f t="shared" si="8"/>
        <v>0</v>
      </c>
      <c r="AD53" s="77">
        <f t="shared" si="9"/>
        <v>0</v>
      </c>
      <c r="AE53" s="77">
        <f t="shared" si="10"/>
        <v>34615.384615384617</v>
      </c>
      <c r="AF53" s="77">
        <f t="shared" si="11"/>
        <v>57692.307692307688</v>
      </c>
      <c r="AG53" s="77">
        <f t="shared" si="12"/>
        <v>178846.15384615384</v>
      </c>
      <c r="AH53" s="304">
        <f t="shared" si="13"/>
        <v>997175.48076923087</v>
      </c>
      <c r="AI53" s="254"/>
      <c r="AJ53" s="254"/>
      <c r="AK53" s="254"/>
      <c r="AL53" s="295">
        <v>11000000</v>
      </c>
      <c r="AM53" s="263">
        <f t="shared" si="14"/>
        <v>0</v>
      </c>
      <c r="AN53" s="295">
        <f t="shared" si="15"/>
        <v>11000000</v>
      </c>
      <c r="AO53" s="295">
        <f t="shared" si="16"/>
        <v>-10002824.51923077</v>
      </c>
      <c r="AP53" s="151">
        <f t="shared" si="17"/>
        <v>0</v>
      </c>
      <c r="AQ53" s="77">
        <f t="shared" si="20"/>
        <v>0</v>
      </c>
      <c r="AR53" s="77"/>
      <c r="AS53" s="77"/>
      <c r="AT53" s="77"/>
      <c r="AU53" s="259">
        <f t="shared" si="18"/>
        <v>0</v>
      </c>
      <c r="AV53" s="294">
        <f t="shared" si="19"/>
        <v>997175.48076923087</v>
      </c>
      <c r="AX53" s="310"/>
      <c r="AY53" s="310"/>
      <c r="AZ53" s="310"/>
      <c r="BA53" s="310"/>
      <c r="BB53" s="310"/>
      <c r="BC53" s="310"/>
    </row>
    <row r="54" spans="1:55" s="81" customFormat="1" ht="15.75" x14ac:dyDescent="0.25">
      <c r="A54" s="289">
        <v>51</v>
      </c>
      <c r="B54" s="51" t="s">
        <v>149</v>
      </c>
      <c r="C54" s="51"/>
      <c r="D54" s="52" t="s">
        <v>87</v>
      </c>
      <c r="E54" s="76">
        <v>26</v>
      </c>
      <c r="F54" s="77">
        <v>4450000</v>
      </c>
      <c r="G54" s="77">
        <v>500000</v>
      </c>
      <c r="H54" s="77">
        <v>250000</v>
      </c>
      <c r="I54" s="77"/>
      <c r="J54" s="77"/>
      <c r="K54" s="77"/>
      <c r="L54" s="77">
        <v>300000</v>
      </c>
      <c r="M54" s="77">
        <v>500000</v>
      </c>
      <c r="N54" s="77">
        <f t="shared" si="21"/>
        <v>6000000</v>
      </c>
      <c r="O54" s="59">
        <f>+VLOOKUP('Bảng tính lương moi( THUE LD2)'!D54,'Ngày công'!$C$6:$AI$57,33,0)</f>
        <v>3</v>
      </c>
      <c r="P54" s="56">
        <f>+VLOOKUP(D54,'Ngày công'!$C$6:$AN$57,38,0)</f>
        <v>13.5</v>
      </c>
      <c r="Q54" s="55">
        <f>+VLOOKUP('Bảng tính lương moi( THUE LD2)'!D54,'Ngày công'!$C$6:$AO$57,39,0)</f>
        <v>0</v>
      </c>
      <c r="R54" s="55">
        <f>+VLOOKUP(D54,'Ngày công'!$C$6:$AJ$57,34,0)</f>
        <v>0</v>
      </c>
      <c r="S54" s="78"/>
      <c r="T54" s="78">
        <f>'[1]CHẤM CÔNG'!DS57</f>
        <v>0</v>
      </c>
      <c r="U54" s="78"/>
      <c r="V54" s="77">
        <f t="shared" si="1"/>
        <v>513461.5384615385</v>
      </c>
      <c r="W54" s="77">
        <f t="shared" si="2"/>
        <v>288822.11538461538</v>
      </c>
      <c r="X54" s="77">
        <f t="shared" si="3"/>
        <v>0</v>
      </c>
      <c r="Y54" s="77">
        <f t="shared" si="4"/>
        <v>802283.65384615387</v>
      </c>
      <c r="Z54" s="77">
        <f t="shared" si="5"/>
        <v>57692.307692307688</v>
      </c>
      <c r="AA54" s="77">
        <f t="shared" si="6"/>
        <v>28846.153846153844</v>
      </c>
      <c r="AB54" s="77">
        <f t="shared" si="7"/>
        <v>0</v>
      </c>
      <c r="AC54" s="77">
        <f t="shared" si="8"/>
        <v>0</v>
      </c>
      <c r="AD54" s="77">
        <f t="shared" si="9"/>
        <v>0</v>
      </c>
      <c r="AE54" s="77">
        <f t="shared" si="10"/>
        <v>34615.384615384617</v>
      </c>
      <c r="AF54" s="77">
        <f t="shared" si="11"/>
        <v>57692.307692307688</v>
      </c>
      <c r="AG54" s="77">
        <f t="shared" si="12"/>
        <v>178846.15384615384</v>
      </c>
      <c r="AH54" s="304">
        <f t="shared" si="13"/>
        <v>981129.80769230775</v>
      </c>
      <c r="AI54" s="254"/>
      <c r="AJ54" s="254"/>
      <c r="AK54" s="254"/>
      <c r="AL54" s="295">
        <v>11000000</v>
      </c>
      <c r="AM54" s="263">
        <f t="shared" si="14"/>
        <v>0</v>
      </c>
      <c r="AN54" s="295">
        <f t="shared" si="15"/>
        <v>11000000</v>
      </c>
      <c r="AO54" s="295">
        <f t="shared" si="16"/>
        <v>-10018870.192307692</v>
      </c>
      <c r="AP54" s="151">
        <f t="shared" si="17"/>
        <v>0</v>
      </c>
      <c r="AQ54" s="77">
        <f t="shared" si="20"/>
        <v>0</v>
      </c>
      <c r="AR54" s="77"/>
      <c r="AS54" s="77"/>
      <c r="AT54" s="77"/>
      <c r="AU54" s="259">
        <f t="shared" si="18"/>
        <v>0</v>
      </c>
      <c r="AV54" s="294">
        <f t="shared" si="19"/>
        <v>981129.80769230775</v>
      </c>
      <c r="AW54" s="81" t="s">
        <v>224</v>
      </c>
      <c r="AX54" s="310"/>
      <c r="AY54" s="310"/>
      <c r="AZ54" s="310"/>
      <c r="BA54" s="310"/>
      <c r="BB54" s="310"/>
      <c r="BC54" s="310"/>
    </row>
    <row r="55" spans="1:55" s="75" customFormat="1" ht="16.5" customHeight="1" x14ac:dyDescent="0.25">
      <c r="A55" s="289">
        <v>52</v>
      </c>
      <c r="B55" s="38" t="s">
        <v>176</v>
      </c>
      <c r="C55" s="38"/>
      <c r="D55" s="38" t="s">
        <v>88</v>
      </c>
      <c r="E55" s="68">
        <v>26</v>
      </c>
      <c r="F55" s="69">
        <v>4450000</v>
      </c>
      <c r="G55" s="69">
        <v>500000</v>
      </c>
      <c r="H55" s="69">
        <v>250000</v>
      </c>
      <c r="I55" s="69"/>
      <c r="J55" s="69"/>
      <c r="K55" s="69"/>
      <c r="L55" s="69">
        <v>300000</v>
      </c>
      <c r="M55" s="69">
        <v>500000</v>
      </c>
      <c r="N55" s="69">
        <f>SUM(F55:M55)</f>
        <v>6000000</v>
      </c>
      <c r="O55" s="59">
        <f>+VLOOKUP('Bảng tính lương moi( THUE LD2)'!D55,'Ngày công'!$C$6:$AI$57,33,0)</f>
        <v>8</v>
      </c>
      <c r="P55" s="56">
        <f>+VLOOKUP(D55,'Ngày công'!$C$6:$AN$57,38,0)</f>
        <v>10.5</v>
      </c>
      <c r="Q55" s="55">
        <f>+VLOOKUP('Bảng tính lương moi( THUE LD2)'!D55,'Ngày công'!$C$6:$AO$57,39,0)</f>
        <v>0</v>
      </c>
      <c r="R55" s="55">
        <f>+VLOOKUP(D55,'Ngày công'!$C$6:$AJ$57,34,0)</f>
        <v>0</v>
      </c>
      <c r="S55" s="72"/>
      <c r="T55" s="72">
        <f>'[1]CHẤM CÔNG'!DS58</f>
        <v>0</v>
      </c>
      <c r="U55" s="72"/>
      <c r="V55" s="69">
        <f t="shared" si="1"/>
        <v>1369230.7692307692</v>
      </c>
      <c r="W55" s="69">
        <f t="shared" si="2"/>
        <v>224639.42307692309</v>
      </c>
      <c r="X55" s="69">
        <f t="shared" si="3"/>
        <v>0</v>
      </c>
      <c r="Y55" s="69">
        <f>V55+W55+X55</f>
        <v>1593870.1923076923</v>
      </c>
      <c r="Z55" s="69">
        <f t="shared" si="5"/>
        <v>153846.15384615384</v>
      </c>
      <c r="AA55" s="69">
        <f t="shared" si="6"/>
        <v>76923.076923076922</v>
      </c>
      <c r="AB55" s="69">
        <f t="shared" si="7"/>
        <v>0</v>
      </c>
      <c r="AC55" s="69">
        <f t="shared" si="8"/>
        <v>0</v>
      </c>
      <c r="AD55" s="69">
        <f t="shared" si="9"/>
        <v>0</v>
      </c>
      <c r="AE55" s="69">
        <f t="shared" si="10"/>
        <v>92307.692307692312</v>
      </c>
      <c r="AF55" s="69">
        <f t="shared" si="11"/>
        <v>153846.15384615384</v>
      </c>
      <c r="AG55" s="69">
        <f t="shared" si="12"/>
        <v>476923.07692307688</v>
      </c>
      <c r="AH55" s="304">
        <f t="shared" si="13"/>
        <v>2070793.269230769</v>
      </c>
      <c r="AI55" s="254"/>
      <c r="AJ55" s="254"/>
      <c r="AK55" s="254"/>
      <c r="AL55" s="295">
        <v>11000000</v>
      </c>
      <c r="AM55" s="263">
        <f t="shared" si="14"/>
        <v>0</v>
      </c>
      <c r="AN55" s="295">
        <f t="shared" si="15"/>
        <v>11000000</v>
      </c>
      <c r="AO55" s="295">
        <f t="shared" si="16"/>
        <v>-8929206.7307692319</v>
      </c>
      <c r="AP55" s="151">
        <f t="shared" si="17"/>
        <v>0</v>
      </c>
      <c r="AQ55" s="69">
        <f t="shared" si="20"/>
        <v>0</v>
      </c>
      <c r="AR55" s="69"/>
      <c r="AS55" s="69"/>
      <c r="AT55" s="69"/>
      <c r="AU55" s="259">
        <f t="shared" si="18"/>
        <v>0</v>
      </c>
      <c r="AV55" s="293">
        <f t="shared" si="19"/>
        <v>2070793.269230769</v>
      </c>
      <c r="AW55" s="75" t="s">
        <v>213</v>
      </c>
      <c r="AX55" s="309"/>
      <c r="AY55" s="309"/>
      <c r="AZ55" s="309"/>
      <c r="BA55" s="309"/>
      <c r="BB55" s="309"/>
      <c r="BC55" s="309"/>
    </row>
    <row r="56" spans="1:55" s="81" customFormat="1" ht="15.75" x14ac:dyDescent="0.25">
      <c r="A56" s="289">
        <v>44</v>
      </c>
      <c r="B56" s="51" t="s">
        <v>142</v>
      </c>
      <c r="C56" s="51" t="s">
        <v>338</v>
      </c>
      <c r="D56" s="51" t="s">
        <v>80</v>
      </c>
      <c r="E56" s="76">
        <v>26</v>
      </c>
      <c r="F56" s="77">
        <v>4450000</v>
      </c>
      <c r="G56" s="77">
        <v>500000</v>
      </c>
      <c r="H56" s="77">
        <v>250000</v>
      </c>
      <c r="I56" s="77"/>
      <c r="J56" s="77"/>
      <c r="K56" s="77"/>
      <c r="L56" s="77">
        <v>300000</v>
      </c>
      <c r="M56" s="77">
        <v>500000</v>
      </c>
      <c r="N56" s="77">
        <f>SUM(F56:M56)</f>
        <v>6000000</v>
      </c>
      <c r="O56" s="59">
        <f>+VLOOKUP('Bảng tính lương moi( THUE LD2)'!D56,'Ngày công'!$C$6:$AI$57,33,0)</f>
        <v>4</v>
      </c>
      <c r="P56" s="56">
        <f>+VLOOKUP(D56,'Ngày công'!$C$6:$AN$57,38,0)</f>
        <v>9.75</v>
      </c>
      <c r="Q56" s="55">
        <f>+VLOOKUP('Bảng tính lương moi( THUE LD2)'!D56,'Ngày công'!$C$6:$AO$57,39,0)</f>
        <v>0</v>
      </c>
      <c r="R56" s="55">
        <f>+VLOOKUP(D56,'Ngày công'!$C$6:$AJ$57,34,0)</f>
        <v>0</v>
      </c>
      <c r="S56" s="78"/>
      <c r="T56" s="78">
        <f>'[1]CHẤM CÔNG'!DS50</f>
        <v>0</v>
      </c>
      <c r="U56" s="78"/>
      <c r="V56" s="77">
        <f>F56/E56*O56</f>
        <v>684615.38461538462</v>
      </c>
      <c r="W56" s="77">
        <f>F56/E56/8*P56</f>
        <v>208593.75</v>
      </c>
      <c r="X56" s="77">
        <f>F56/E56*Q56*3</f>
        <v>0</v>
      </c>
      <c r="Y56" s="77">
        <f>V56+W56+X56</f>
        <v>893209.13461538462</v>
      </c>
      <c r="Z56" s="77">
        <f>G56/E56*O56</f>
        <v>76923.076923076922</v>
      </c>
      <c r="AA56" s="77">
        <f>H56/E56*O56</f>
        <v>38461.538461538461</v>
      </c>
      <c r="AB56" s="77">
        <f>I56/E56*O56</f>
        <v>0</v>
      </c>
      <c r="AC56" s="77">
        <f>J56/26*O56</f>
        <v>0</v>
      </c>
      <c r="AD56" s="77">
        <f>K56</f>
        <v>0</v>
      </c>
      <c r="AE56" s="77">
        <f>L56/E56*O56</f>
        <v>46153.846153846156</v>
      </c>
      <c r="AF56" s="77">
        <f>M56/E56*O56</f>
        <v>76923.076923076922</v>
      </c>
      <c r="AG56" s="77">
        <f>SUM(Z56:AF56)</f>
        <v>238461.53846153844</v>
      </c>
      <c r="AH56" s="304">
        <f t="shared" si="13"/>
        <v>1131670.673076923</v>
      </c>
      <c r="AI56" s="254"/>
      <c r="AJ56" s="254"/>
      <c r="AK56" s="254"/>
      <c r="AL56" s="295">
        <v>11000000</v>
      </c>
      <c r="AM56" s="263">
        <f t="shared" si="14"/>
        <v>0</v>
      </c>
      <c r="AN56" s="295">
        <f t="shared" si="15"/>
        <v>11000000</v>
      </c>
      <c r="AO56" s="295">
        <f t="shared" si="16"/>
        <v>-9868329.3269230761</v>
      </c>
      <c r="AP56" s="151">
        <f t="shared" si="17"/>
        <v>0</v>
      </c>
      <c r="AQ56" s="77">
        <f>F56/E56/8*T56</f>
        <v>0</v>
      </c>
      <c r="AR56" s="77"/>
      <c r="AS56" s="77"/>
      <c r="AT56" s="77"/>
      <c r="AU56" s="259">
        <f t="shared" si="18"/>
        <v>0</v>
      </c>
      <c r="AV56" s="294">
        <f>Y56+AG56-AU56</f>
        <v>1131670.673076923</v>
      </c>
      <c r="AW56" s="81" t="s">
        <v>221</v>
      </c>
      <c r="AX56" s="310"/>
      <c r="AY56" s="310"/>
      <c r="AZ56" s="310"/>
      <c r="BA56" s="310"/>
      <c r="BB56" s="310"/>
      <c r="BC56" s="310"/>
    </row>
    <row r="57" spans="1:55" s="57" customFormat="1" ht="15.75" x14ac:dyDescent="0.25">
      <c r="A57" s="289">
        <v>23</v>
      </c>
      <c r="B57" s="36" t="s">
        <v>121</v>
      </c>
      <c r="C57" s="36" t="s">
        <v>337</v>
      </c>
      <c r="D57" s="36" t="s">
        <v>61</v>
      </c>
      <c r="E57" s="58">
        <v>26</v>
      </c>
      <c r="F57" s="54">
        <v>10000000</v>
      </c>
      <c r="G57" s="54"/>
      <c r="H57" s="54">
        <v>500000</v>
      </c>
      <c r="I57" s="54"/>
      <c r="J57" s="54"/>
      <c r="K57" s="54">
        <v>500000</v>
      </c>
      <c r="L57" s="54"/>
      <c r="M57" s="54"/>
      <c r="N57" s="54">
        <f>SUM(F57:M57)</f>
        <v>11000000</v>
      </c>
      <c r="O57" s="59">
        <v>26</v>
      </c>
      <c r="P57" s="56"/>
      <c r="Q57" s="55">
        <f>+VLOOKUP('Bảng tính lương moi( THUE LD2)'!D57,'Ngày công'!$C$6:$AO$57,39,0)</f>
        <v>0</v>
      </c>
      <c r="R57" s="55">
        <f>+VLOOKUP(D57,'Ngày công'!$C$6:$AJ$57,34,0)</f>
        <v>0</v>
      </c>
      <c r="S57" s="55"/>
      <c r="T57" s="55">
        <f>'[1]CHẤM CÔNG'!DS29</f>
        <v>0</v>
      </c>
      <c r="U57" s="55"/>
      <c r="V57" s="54">
        <f>F57/E57*O57</f>
        <v>10000000</v>
      </c>
      <c r="W57" s="54">
        <f>F57/E57/8*P57</f>
        <v>0</v>
      </c>
      <c r="X57" s="54">
        <f>F57/E57*Q57*3</f>
        <v>0</v>
      </c>
      <c r="Y57" s="54">
        <f>V57+W57+X57</f>
        <v>10000000</v>
      </c>
      <c r="Z57" s="54">
        <f>G57/E57*O57</f>
        <v>0</v>
      </c>
      <c r="AA57" s="54">
        <f>H57/E57*O57</f>
        <v>500000</v>
      </c>
      <c r="AB57" s="54">
        <f>I57/E57*O57</f>
        <v>0</v>
      </c>
      <c r="AC57" s="54">
        <f>J57/26*O57</f>
        <v>0</v>
      </c>
      <c r="AD57" s="54">
        <f>K57</f>
        <v>500000</v>
      </c>
      <c r="AE57" s="54">
        <f>L57/E57*O57</f>
        <v>0</v>
      </c>
      <c r="AF57" s="54">
        <f>M57/E57*O57</f>
        <v>0</v>
      </c>
      <c r="AG57" s="54">
        <f>SUM(Z57:AF57)</f>
        <v>1000000</v>
      </c>
      <c r="AH57" s="304">
        <f t="shared" si="13"/>
        <v>11000000</v>
      </c>
      <c r="AI57" s="254"/>
      <c r="AJ57" s="254"/>
      <c r="AK57" s="254"/>
      <c r="AL57" s="295">
        <v>11000000</v>
      </c>
      <c r="AM57" s="263">
        <f t="shared" si="14"/>
        <v>0</v>
      </c>
      <c r="AN57" s="295">
        <f t="shared" si="15"/>
        <v>11000000</v>
      </c>
      <c r="AO57" s="295">
        <f t="shared" si="16"/>
        <v>0</v>
      </c>
      <c r="AP57" s="151">
        <f t="shared" si="17"/>
        <v>0</v>
      </c>
      <c r="AQ57" s="54">
        <f>F57/E57/8*T57</f>
        <v>0</v>
      </c>
      <c r="AR57" s="54"/>
      <c r="AS57" s="54"/>
      <c r="AT57" s="54"/>
      <c r="AU57" s="259">
        <f t="shared" si="18"/>
        <v>0</v>
      </c>
      <c r="AV57" s="290">
        <v>5500000</v>
      </c>
      <c r="AX57" s="307"/>
      <c r="AY57" s="307"/>
      <c r="AZ57" s="307"/>
      <c r="BA57" s="307"/>
      <c r="BB57" s="307"/>
      <c r="BC57" s="307"/>
    </row>
    <row r="58" spans="1:55" s="75" customFormat="1" ht="15.75" x14ac:dyDescent="0.25">
      <c r="A58" s="289">
        <v>53</v>
      </c>
      <c r="B58" s="38" t="s">
        <v>203</v>
      </c>
      <c r="C58" s="38" t="s">
        <v>336</v>
      </c>
      <c r="D58" s="38" t="s">
        <v>202</v>
      </c>
      <c r="E58" s="68">
        <v>26</v>
      </c>
      <c r="F58" s="69">
        <v>4450000</v>
      </c>
      <c r="G58" s="69">
        <v>500000</v>
      </c>
      <c r="H58" s="69">
        <v>300000</v>
      </c>
      <c r="I58" s="69">
        <v>450000</v>
      </c>
      <c r="J58" s="69"/>
      <c r="K58" s="69"/>
      <c r="L58" s="69">
        <v>300000</v>
      </c>
      <c r="M58" s="69">
        <v>2000000</v>
      </c>
      <c r="N58" s="69">
        <f t="shared" ref="N58" si="22">SUM(F58:M58)</f>
        <v>8000000</v>
      </c>
      <c r="O58" s="59">
        <v>14</v>
      </c>
      <c r="P58" s="56"/>
      <c r="Q58" s="55">
        <v>5</v>
      </c>
      <c r="R58" s="55"/>
      <c r="S58" s="72"/>
      <c r="T58" s="72"/>
      <c r="U58" s="72"/>
      <c r="V58" s="69">
        <f t="shared" si="1"/>
        <v>2396153.846153846</v>
      </c>
      <c r="W58" s="69">
        <f t="shared" si="2"/>
        <v>0</v>
      </c>
      <c r="X58" s="69">
        <f>F58/E58*Q58*3</f>
        <v>2567307.692307692</v>
      </c>
      <c r="Y58" s="69">
        <f>V58+W58+X58</f>
        <v>4963461.538461538</v>
      </c>
      <c r="Z58" s="69">
        <f t="shared" si="5"/>
        <v>269230.76923076925</v>
      </c>
      <c r="AA58" s="69">
        <f t="shared" si="6"/>
        <v>161538.46153846156</v>
      </c>
      <c r="AB58" s="69">
        <f t="shared" si="7"/>
        <v>242307.69230769231</v>
      </c>
      <c r="AC58" s="69">
        <f t="shared" si="8"/>
        <v>0</v>
      </c>
      <c r="AD58" s="69">
        <f t="shared" si="9"/>
        <v>0</v>
      </c>
      <c r="AE58" s="69">
        <f t="shared" si="10"/>
        <v>161538.46153846156</v>
      </c>
      <c r="AF58" s="69">
        <f t="shared" si="11"/>
        <v>1076923.076923077</v>
      </c>
      <c r="AG58" s="69">
        <f t="shared" si="12"/>
        <v>1911538.4615384617</v>
      </c>
      <c r="AH58" s="304">
        <f t="shared" si="13"/>
        <v>6875000</v>
      </c>
      <c r="AI58" s="254"/>
      <c r="AJ58" s="254"/>
      <c r="AK58" s="254"/>
      <c r="AL58" s="295">
        <v>11000000</v>
      </c>
      <c r="AM58" s="263">
        <f t="shared" si="14"/>
        <v>0</v>
      </c>
      <c r="AN58" s="295">
        <f t="shared" si="15"/>
        <v>11000000</v>
      </c>
      <c r="AO58" s="295">
        <f t="shared" si="16"/>
        <v>-4125000</v>
      </c>
      <c r="AP58" s="151">
        <f t="shared" si="17"/>
        <v>0</v>
      </c>
      <c r="AQ58" s="69"/>
      <c r="AR58" s="69"/>
      <c r="AS58" s="69"/>
      <c r="AT58" s="69"/>
      <c r="AU58" s="69"/>
      <c r="AV58" s="293">
        <f t="shared" si="19"/>
        <v>6875000</v>
      </c>
      <c r="AW58" s="75" t="s">
        <v>232</v>
      </c>
      <c r="AX58" s="309"/>
      <c r="AY58" s="309"/>
      <c r="AZ58" s="309"/>
      <c r="BA58" s="309"/>
      <c r="BB58" s="309"/>
      <c r="BC58" s="309"/>
    </row>
    <row r="59" spans="1:55" s="316" customFormat="1" ht="15.75" thickBot="1" x14ac:dyDescent="0.3">
      <c r="A59" s="313"/>
      <c r="B59" s="314"/>
      <c r="C59" s="314"/>
      <c r="D59" s="314"/>
      <c r="E59" s="314"/>
      <c r="F59" s="315">
        <f>SUBTOTAL(9,F6:F58)</f>
        <v>245355000</v>
      </c>
      <c r="G59" s="315">
        <f t="shared" ref="G59:AV59" si="23">SUBTOTAL(9,G6:G58)</f>
        <v>21500000</v>
      </c>
      <c r="H59" s="315">
        <f t="shared" si="23"/>
        <v>11000000</v>
      </c>
      <c r="I59" s="315">
        <f t="shared" si="23"/>
        <v>3450000</v>
      </c>
      <c r="J59" s="315">
        <f t="shared" si="23"/>
        <v>1000000</v>
      </c>
      <c r="K59" s="315">
        <f t="shared" si="23"/>
        <v>3050000</v>
      </c>
      <c r="L59" s="315">
        <f t="shared" si="23"/>
        <v>12300000</v>
      </c>
      <c r="M59" s="315">
        <f t="shared" si="23"/>
        <v>25015000</v>
      </c>
      <c r="N59" s="315">
        <f t="shared" si="23"/>
        <v>322670000</v>
      </c>
      <c r="O59" s="315">
        <f t="shared" si="23"/>
        <v>593.5</v>
      </c>
      <c r="P59" s="315">
        <f t="shared" si="23"/>
        <v>2511.6499999999992</v>
      </c>
      <c r="Q59" s="315">
        <f t="shared" si="23"/>
        <v>14</v>
      </c>
      <c r="R59" s="315">
        <f t="shared" si="23"/>
        <v>19</v>
      </c>
      <c r="S59" s="315">
        <f t="shared" si="23"/>
        <v>0</v>
      </c>
      <c r="T59" s="315">
        <f t="shared" si="23"/>
        <v>7.5</v>
      </c>
      <c r="U59" s="315">
        <f t="shared" si="23"/>
        <v>0</v>
      </c>
      <c r="V59" s="315">
        <f t="shared" si="23"/>
        <v>111444615.38461542</v>
      </c>
      <c r="W59" s="315">
        <f t="shared" si="23"/>
        <v>55629786.057692297</v>
      </c>
      <c r="X59" s="315">
        <f t="shared" si="23"/>
        <v>7275000</v>
      </c>
      <c r="Y59" s="315">
        <f t="shared" si="23"/>
        <v>174349401.44230768</v>
      </c>
      <c r="Z59" s="315">
        <f t="shared" si="23"/>
        <v>10182692.307692308</v>
      </c>
      <c r="AA59" s="315">
        <f t="shared" si="23"/>
        <v>4800961.5384615408</v>
      </c>
      <c r="AB59" s="315">
        <f t="shared" si="23"/>
        <v>1675000</v>
      </c>
      <c r="AC59" s="315">
        <f t="shared" si="23"/>
        <v>269230.76923076925</v>
      </c>
      <c r="AD59" s="315">
        <f t="shared" si="23"/>
        <v>3050000</v>
      </c>
      <c r="AE59" s="315">
        <f t="shared" si="23"/>
        <v>4990384.6153846188</v>
      </c>
      <c r="AF59" s="315">
        <f t="shared" si="23"/>
        <v>9840576.9230769239</v>
      </c>
      <c r="AG59" s="315">
        <f t="shared" si="23"/>
        <v>34808846.153846152</v>
      </c>
      <c r="AH59" s="315">
        <f t="shared" si="23"/>
        <v>209158247.59615383</v>
      </c>
      <c r="AI59" s="315">
        <f t="shared" si="23"/>
        <v>0</v>
      </c>
      <c r="AJ59" s="315">
        <f t="shared" si="23"/>
        <v>0</v>
      </c>
      <c r="AK59" s="315">
        <f t="shared" si="23"/>
        <v>0</v>
      </c>
      <c r="AL59" s="315">
        <f t="shared" si="23"/>
        <v>583000000</v>
      </c>
      <c r="AM59" s="315">
        <f t="shared" si="23"/>
        <v>0</v>
      </c>
      <c r="AN59" s="315">
        <f t="shared" si="23"/>
        <v>584622896.63461542</v>
      </c>
      <c r="AO59" s="315">
        <f t="shared" si="23"/>
        <v>-375464649.03846163</v>
      </c>
      <c r="AP59" s="315">
        <f t="shared" si="23"/>
        <v>0</v>
      </c>
      <c r="AQ59" s="315">
        <f t="shared" si="23"/>
        <v>167307.69230769231</v>
      </c>
      <c r="AR59" s="315">
        <f t="shared" si="23"/>
        <v>0</v>
      </c>
      <c r="AS59" s="315">
        <f t="shared" si="23"/>
        <v>0</v>
      </c>
      <c r="AT59" s="315">
        <f t="shared" si="23"/>
        <v>0</v>
      </c>
      <c r="AU59" s="315">
        <f t="shared" si="23"/>
        <v>167307.69230769231</v>
      </c>
      <c r="AV59" s="312">
        <f t="shared" si="23"/>
        <v>203490939.90384614</v>
      </c>
      <c r="AX59" s="317"/>
      <c r="AY59" s="317"/>
      <c r="AZ59" s="317"/>
      <c r="BA59" s="317"/>
      <c r="BB59" s="317"/>
      <c r="BC59" s="317"/>
    </row>
    <row r="61" spans="1:55" x14ac:dyDescent="0.25">
      <c r="AV61" s="119"/>
    </row>
  </sheetData>
  <autoFilter ref="A5:AX59" xr:uid="{E41ECA6C-14A6-46AA-A501-195E484D46A5}"/>
  <mergeCells count="25">
    <mergeCell ref="AN4:AN5"/>
    <mergeCell ref="AO4:AO5"/>
    <mergeCell ref="AP4:AP5"/>
    <mergeCell ref="Y4:Y5"/>
    <mergeCell ref="A4:A5"/>
    <mergeCell ref="B4:B5"/>
    <mergeCell ref="D4:D5"/>
    <mergeCell ref="E4:E5"/>
    <mergeCell ref="F4:F5"/>
    <mergeCell ref="G4:L4"/>
    <mergeCell ref="M4:M5"/>
    <mergeCell ref="N4:N5"/>
    <mergeCell ref="O4:Q4"/>
    <mergeCell ref="R4:U4"/>
    <mergeCell ref="V4:X4"/>
    <mergeCell ref="AW4:AW5"/>
    <mergeCell ref="Z4:AE4"/>
    <mergeCell ref="AF4:AF5"/>
    <mergeCell ref="AG4:AG5"/>
    <mergeCell ref="AQ4:AT4"/>
    <mergeCell ref="AU4:AU5"/>
    <mergeCell ref="AV4:AV5"/>
    <mergeCell ref="AH4:AH5"/>
    <mergeCell ref="AI4:AJ4"/>
    <mergeCell ref="AK4:AM4"/>
  </mergeCells>
  <conditionalFormatting sqref="B9:C9">
    <cfRule type="duplicateValues" dxfId="12" priority="2"/>
  </conditionalFormatting>
  <conditionalFormatting sqref="B11:C11">
    <cfRule type="duplicateValues" dxfId="11" priority="3"/>
  </conditionalFormatting>
  <conditionalFormatting sqref="B12:C12">
    <cfRule type="duplicateValues" dxfId="10" priority="1"/>
  </conditionalFormatting>
  <conditionalFormatting sqref="B6:D58">
    <cfRule type="duplicateValues" dxfId="9" priority="2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BN27"/>
  <sheetViews>
    <sheetView workbookViewId="0">
      <selection activeCell="AZ30" sqref="AZ30"/>
    </sheetView>
  </sheetViews>
  <sheetFormatPr defaultRowHeight="15" x14ac:dyDescent="0.25"/>
  <cols>
    <col min="3" max="3" width="32.42578125" customWidth="1"/>
    <col min="5" max="60" width="4.85546875" customWidth="1"/>
    <col min="61" max="64" width="5.42578125" customWidth="1"/>
    <col min="65" max="65" width="4.85546875" customWidth="1"/>
    <col min="66" max="66" width="14.85546875" customWidth="1"/>
  </cols>
  <sheetData>
    <row r="1" spans="1:66" ht="15.75" x14ac:dyDescent="0.25">
      <c r="A1" s="227" t="s">
        <v>3</v>
      </c>
      <c r="B1" s="225" t="s">
        <v>98</v>
      </c>
      <c r="C1" s="227" t="s">
        <v>93</v>
      </c>
      <c r="D1" s="225" t="s">
        <v>269</v>
      </c>
      <c r="E1" s="228">
        <v>6</v>
      </c>
      <c r="F1" s="228"/>
      <c r="G1" s="228"/>
      <c r="H1" s="228"/>
      <c r="I1" s="228">
        <v>7</v>
      </c>
      <c r="J1" s="228"/>
      <c r="K1" s="228"/>
      <c r="L1" s="228"/>
      <c r="M1" s="228" t="s">
        <v>270</v>
      </c>
      <c r="N1" s="228"/>
      <c r="O1" s="228"/>
      <c r="P1" s="228"/>
      <c r="Q1" s="226">
        <v>2</v>
      </c>
      <c r="R1" s="226"/>
      <c r="S1" s="226"/>
      <c r="T1" s="226"/>
      <c r="U1" s="226">
        <v>3</v>
      </c>
      <c r="V1" s="226"/>
      <c r="W1" s="226"/>
      <c r="X1" s="226"/>
      <c r="Y1" s="226">
        <v>4</v>
      </c>
      <c r="Z1" s="226"/>
      <c r="AA1" s="226"/>
      <c r="AB1" s="226"/>
      <c r="AC1" s="226">
        <v>5</v>
      </c>
      <c r="AD1" s="226"/>
      <c r="AE1" s="226"/>
      <c r="AF1" s="226"/>
      <c r="AG1" s="226">
        <v>6</v>
      </c>
      <c r="AH1" s="226"/>
      <c r="AI1" s="226"/>
      <c r="AJ1" s="226"/>
      <c r="AK1" s="226">
        <v>7</v>
      </c>
      <c r="AL1" s="226"/>
      <c r="AM1" s="226"/>
      <c r="AN1" s="226"/>
      <c r="AO1" s="226" t="s">
        <v>270</v>
      </c>
      <c r="AP1" s="226"/>
      <c r="AQ1" s="226"/>
      <c r="AR1" s="226"/>
      <c r="AS1" s="226">
        <v>2</v>
      </c>
      <c r="AT1" s="226"/>
      <c r="AU1" s="226"/>
      <c r="AV1" s="226"/>
      <c r="AW1" s="226">
        <v>3</v>
      </c>
      <c r="AX1" s="226"/>
      <c r="AY1" s="226"/>
      <c r="AZ1" s="226"/>
      <c r="BA1" s="226">
        <v>4</v>
      </c>
      <c r="BB1" s="226"/>
      <c r="BC1" s="226"/>
      <c r="BD1" s="226"/>
      <c r="BE1" s="226">
        <v>5</v>
      </c>
      <c r="BF1" s="226"/>
      <c r="BG1" s="226"/>
      <c r="BH1" s="226"/>
      <c r="BI1" s="229" t="s">
        <v>271</v>
      </c>
      <c r="BJ1" s="229"/>
      <c r="BK1" s="229"/>
      <c r="BL1" s="229"/>
      <c r="BM1" s="229"/>
      <c r="BN1" s="137"/>
    </row>
    <row r="2" spans="1:66" ht="15.75" x14ac:dyDescent="0.25">
      <c r="A2" s="227"/>
      <c r="B2" s="225"/>
      <c r="C2" s="227"/>
      <c r="D2" s="225"/>
      <c r="E2" s="230">
        <v>16</v>
      </c>
      <c r="F2" s="230"/>
      <c r="G2" s="230"/>
      <c r="H2" s="230"/>
      <c r="I2" s="230">
        <v>17</v>
      </c>
      <c r="J2" s="230"/>
      <c r="K2" s="230"/>
      <c r="L2" s="230"/>
      <c r="M2" s="228">
        <v>18</v>
      </c>
      <c r="N2" s="228"/>
      <c r="O2" s="228"/>
      <c r="P2" s="228"/>
      <c r="Q2" s="226">
        <v>19</v>
      </c>
      <c r="R2" s="226"/>
      <c r="S2" s="226"/>
      <c r="T2" s="226"/>
      <c r="U2" s="226">
        <v>20</v>
      </c>
      <c r="V2" s="226"/>
      <c r="W2" s="226"/>
      <c r="X2" s="226"/>
      <c r="Y2" s="226">
        <v>21</v>
      </c>
      <c r="Z2" s="226"/>
      <c r="AA2" s="226"/>
      <c r="AB2" s="226"/>
      <c r="AC2" s="226">
        <v>22</v>
      </c>
      <c r="AD2" s="226"/>
      <c r="AE2" s="226"/>
      <c r="AF2" s="226"/>
      <c r="AG2" s="226">
        <v>23</v>
      </c>
      <c r="AH2" s="226"/>
      <c r="AI2" s="226"/>
      <c r="AJ2" s="226"/>
      <c r="AK2" s="226">
        <v>24</v>
      </c>
      <c r="AL2" s="226"/>
      <c r="AM2" s="226"/>
      <c r="AN2" s="226"/>
      <c r="AO2" s="226">
        <v>25</v>
      </c>
      <c r="AP2" s="226"/>
      <c r="AQ2" s="226"/>
      <c r="AR2" s="226"/>
      <c r="AS2" s="226">
        <v>26</v>
      </c>
      <c r="AT2" s="226"/>
      <c r="AU2" s="226"/>
      <c r="AV2" s="226"/>
      <c r="AW2" s="226">
        <v>27</v>
      </c>
      <c r="AX2" s="226"/>
      <c r="AY2" s="226"/>
      <c r="AZ2" s="226"/>
      <c r="BA2" s="226">
        <v>28</v>
      </c>
      <c r="BB2" s="226"/>
      <c r="BC2" s="226"/>
      <c r="BD2" s="226"/>
      <c r="BE2" s="226">
        <v>29</v>
      </c>
      <c r="BF2" s="226"/>
      <c r="BG2" s="226"/>
      <c r="BH2" s="226"/>
      <c r="BI2" s="229"/>
      <c r="BJ2" s="229"/>
      <c r="BK2" s="229"/>
      <c r="BL2" s="229"/>
      <c r="BM2" s="229"/>
      <c r="BN2" s="137"/>
    </row>
    <row r="3" spans="1:66" ht="15.75" x14ac:dyDescent="0.25">
      <c r="A3" s="227"/>
      <c r="B3" s="225"/>
      <c r="C3" s="227"/>
      <c r="D3" s="225"/>
      <c r="E3" s="138" t="s">
        <v>272</v>
      </c>
      <c r="F3" s="138" t="s">
        <v>273</v>
      </c>
      <c r="G3" s="138" t="s">
        <v>274</v>
      </c>
      <c r="H3" s="138" t="s">
        <v>275</v>
      </c>
      <c r="I3" s="138" t="s">
        <v>272</v>
      </c>
      <c r="J3" s="138" t="s">
        <v>273</v>
      </c>
      <c r="K3" s="138" t="s">
        <v>274</v>
      </c>
      <c r="L3" s="138" t="s">
        <v>275</v>
      </c>
      <c r="M3" s="138" t="s">
        <v>272</v>
      </c>
      <c r="N3" s="138" t="s">
        <v>273</v>
      </c>
      <c r="O3" s="138" t="s">
        <v>274</v>
      </c>
      <c r="P3" s="138" t="s">
        <v>275</v>
      </c>
      <c r="Q3" s="138" t="s">
        <v>272</v>
      </c>
      <c r="R3" s="138" t="s">
        <v>273</v>
      </c>
      <c r="S3" s="138" t="s">
        <v>274</v>
      </c>
      <c r="T3" s="138" t="s">
        <v>275</v>
      </c>
      <c r="U3" s="138" t="s">
        <v>272</v>
      </c>
      <c r="V3" s="138" t="s">
        <v>273</v>
      </c>
      <c r="W3" s="138" t="s">
        <v>274</v>
      </c>
      <c r="X3" s="138" t="s">
        <v>275</v>
      </c>
      <c r="Y3" s="138" t="s">
        <v>272</v>
      </c>
      <c r="Z3" s="138" t="s">
        <v>273</v>
      </c>
      <c r="AA3" s="138" t="s">
        <v>274</v>
      </c>
      <c r="AB3" s="138" t="s">
        <v>275</v>
      </c>
      <c r="AC3" s="138" t="s">
        <v>272</v>
      </c>
      <c r="AD3" s="138" t="s">
        <v>273</v>
      </c>
      <c r="AE3" s="138" t="s">
        <v>274</v>
      </c>
      <c r="AF3" s="138" t="s">
        <v>275</v>
      </c>
      <c r="AG3" s="138" t="s">
        <v>272</v>
      </c>
      <c r="AH3" s="138" t="s">
        <v>273</v>
      </c>
      <c r="AI3" s="138" t="s">
        <v>274</v>
      </c>
      <c r="AJ3" s="138" t="s">
        <v>275</v>
      </c>
      <c r="AK3" s="138" t="s">
        <v>272</v>
      </c>
      <c r="AL3" s="138" t="s">
        <v>273</v>
      </c>
      <c r="AM3" s="138" t="s">
        <v>274</v>
      </c>
      <c r="AN3" s="138" t="s">
        <v>275</v>
      </c>
      <c r="AO3" s="138" t="s">
        <v>272</v>
      </c>
      <c r="AP3" s="138" t="s">
        <v>273</v>
      </c>
      <c r="AQ3" s="138" t="s">
        <v>274</v>
      </c>
      <c r="AR3" s="138" t="s">
        <v>275</v>
      </c>
      <c r="AS3" s="138" t="s">
        <v>272</v>
      </c>
      <c r="AT3" s="138" t="s">
        <v>273</v>
      </c>
      <c r="AU3" s="138" t="s">
        <v>274</v>
      </c>
      <c r="AV3" s="138" t="s">
        <v>275</v>
      </c>
      <c r="AW3" s="138" t="s">
        <v>272</v>
      </c>
      <c r="AX3" s="138" t="s">
        <v>273</v>
      </c>
      <c r="AY3" s="138" t="s">
        <v>274</v>
      </c>
      <c r="AZ3" s="138" t="s">
        <v>275</v>
      </c>
      <c r="BA3" s="138" t="s">
        <v>272</v>
      </c>
      <c r="BB3" s="138" t="s">
        <v>273</v>
      </c>
      <c r="BC3" s="138" t="s">
        <v>274</v>
      </c>
      <c r="BD3" s="138" t="s">
        <v>275</v>
      </c>
      <c r="BE3" s="138" t="s">
        <v>272</v>
      </c>
      <c r="BF3" s="138" t="s">
        <v>273</v>
      </c>
      <c r="BG3" s="138" t="s">
        <v>274</v>
      </c>
      <c r="BH3" s="138" t="s">
        <v>275</v>
      </c>
      <c r="BI3" s="139" t="s">
        <v>272</v>
      </c>
      <c r="BJ3" s="139" t="s">
        <v>90</v>
      </c>
      <c r="BK3" s="139" t="s">
        <v>273</v>
      </c>
      <c r="BL3" s="58" t="s">
        <v>32</v>
      </c>
      <c r="BM3" s="36" t="s">
        <v>275</v>
      </c>
      <c r="BN3" s="137" t="s">
        <v>276</v>
      </c>
    </row>
    <row r="4" spans="1:66" ht="15.75" x14ac:dyDescent="0.25">
      <c r="A4" s="51">
        <v>1</v>
      </c>
      <c r="B4" s="51" t="s">
        <v>277</v>
      </c>
      <c r="C4" s="51" t="s">
        <v>278</v>
      </c>
      <c r="D4" s="76" t="s">
        <v>279</v>
      </c>
      <c r="E4" s="140" t="s">
        <v>26</v>
      </c>
      <c r="F4" s="140">
        <v>1</v>
      </c>
      <c r="G4" s="140"/>
      <c r="H4" s="140"/>
      <c r="I4" s="140" t="s">
        <v>26</v>
      </c>
      <c r="J4" s="140">
        <v>1</v>
      </c>
      <c r="K4" s="140"/>
      <c r="L4" s="140"/>
      <c r="M4" s="140"/>
      <c r="N4" s="140"/>
      <c r="O4" s="140"/>
      <c r="P4" s="140"/>
      <c r="Q4" s="140" t="s">
        <v>26</v>
      </c>
      <c r="R4" s="140"/>
      <c r="S4" s="140"/>
      <c r="T4" s="140"/>
      <c r="U4" s="141" t="s">
        <v>26</v>
      </c>
      <c r="V4" s="140">
        <v>1</v>
      </c>
      <c r="W4" s="141"/>
      <c r="X4" s="141"/>
      <c r="Y4" s="141" t="s">
        <v>26</v>
      </c>
      <c r="Z4" s="140">
        <v>2.5</v>
      </c>
      <c r="AA4" s="140"/>
      <c r="AB4" s="140"/>
      <c r="AC4" s="140" t="s">
        <v>26</v>
      </c>
      <c r="AD4" s="140">
        <v>2.5</v>
      </c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>
        <f>COUNTIF(E4:BH4,"x")</f>
        <v>6</v>
      </c>
      <c r="BJ4" s="140">
        <f>COUNTIF(E4:BH4,"x/2")</f>
        <v>0</v>
      </c>
      <c r="BK4" s="140">
        <f>F4+J4+V4+Z4+AD4++AH4+AL4+AT4+AX4+BB4+BF4</f>
        <v>8</v>
      </c>
      <c r="BL4" s="140">
        <f>M4+AO4</f>
        <v>0</v>
      </c>
      <c r="BM4" s="142"/>
      <c r="BN4" s="143">
        <f>(BI4*230000)+(BJ4*230000/2)+(BK4*32000)+(BL4*45000)</f>
        <v>1636000</v>
      </c>
    </row>
    <row r="5" spans="1:66" ht="15.75" x14ac:dyDescent="0.25">
      <c r="A5" s="51">
        <v>2</v>
      </c>
      <c r="B5" s="51" t="s">
        <v>277</v>
      </c>
      <c r="C5" s="51" t="s">
        <v>280</v>
      </c>
      <c r="D5" s="76" t="s">
        <v>279</v>
      </c>
      <c r="E5" s="140" t="s">
        <v>26</v>
      </c>
      <c r="F5" s="140">
        <v>1</v>
      </c>
      <c r="G5" s="140"/>
      <c r="H5" s="140"/>
      <c r="I5" s="140" t="s">
        <v>26</v>
      </c>
      <c r="J5" s="140">
        <v>1</v>
      </c>
      <c r="K5" s="140"/>
      <c r="L5" s="140"/>
      <c r="M5" s="140">
        <v>8</v>
      </c>
      <c r="N5" s="142"/>
      <c r="O5" s="140"/>
      <c r="P5" s="140"/>
      <c r="Q5" s="140" t="s">
        <v>26</v>
      </c>
      <c r="R5" s="140"/>
      <c r="S5" s="140"/>
      <c r="T5" s="140"/>
      <c r="U5" s="141" t="s">
        <v>26</v>
      </c>
      <c r="V5" s="140">
        <v>1</v>
      </c>
      <c r="W5" s="141"/>
      <c r="X5" s="141"/>
      <c r="Y5" s="142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>
        <f t="shared" ref="BI5:BI26" si="0">COUNTIF(E5:BH5,"x")</f>
        <v>4</v>
      </c>
      <c r="BJ5" s="140">
        <f t="shared" ref="BJ5:BJ26" si="1">COUNTIF(E5:BH5,"x/2")</f>
        <v>0</v>
      </c>
      <c r="BK5" s="140">
        <f t="shared" ref="BK5:BK26" si="2">F5+J5+V5+Z5+AD5++AH5+AL5+AT5+AX5+BB5+BF5</f>
        <v>3</v>
      </c>
      <c r="BL5" s="140">
        <f t="shared" ref="BL5:BL26" si="3">M5+AO5</f>
        <v>8</v>
      </c>
      <c r="BM5" s="142"/>
      <c r="BN5" s="143">
        <f t="shared" ref="BN5:BN15" si="4">(BI5*230000)+(BJ5*230000/2)+(BK5*32000)+(BL5*45000)</f>
        <v>1376000</v>
      </c>
    </row>
    <row r="6" spans="1:66" ht="15.75" x14ac:dyDescent="0.25">
      <c r="A6" s="51">
        <v>3</v>
      </c>
      <c r="B6" s="51" t="s">
        <v>277</v>
      </c>
      <c r="C6" s="51" t="s">
        <v>88</v>
      </c>
      <c r="D6" s="76" t="s">
        <v>279</v>
      </c>
      <c r="E6" s="140" t="s">
        <v>26</v>
      </c>
      <c r="F6" s="140">
        <v>1</v>
      </c>
      <c r="G6" s="140"/>
      <c r="H6" s="140"/>
      <c r="I6" s="140" t="s">
        <v>26</v>
      </c>
      <c r="J6" s="140">
        <v>1</v>
      </c>
      <c r="K6" s="140"/>
      <c r="L6" s="140"/>
      <c r="M6" s="140">
        <v>8</v>
      </c>
      <c r="N6" s="140"/>
      <c r="O6" s="140"/>
      <c r="P6" s="140"/>
      <c r="Q6" s="140" t="s">
        <v>26</v>
      </c>
      <c r="R6" s="140"/>
      <c r="S6" s="140"/>
      <c r="T6" s="140"/>
      <c r="U6" s="141" t="s">
        <v>26</v>
      </c>
      <c r="V6" s="140">
        <v>1</v>
      </c>
      <c r="W6" s="141"/>
      <c r="X6" s="141"/>
      <c r="Y6" s="141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>
        <f t="shared" si="0"/>
        <v>4</v>
      </c>
      <c r="BJ6" s="140">
        <f t="shared" si="1"/>
        <v>0</v>
      </c>
      <c r="BK6" s="140">
        <f t="shared" si="2"/>
        <v>3</v>
      </c>
      <c r="BL6" s="140">
        <f t="shared" si="3"/>
        <v>8</v>
      </c>
      <c r="BM6" s="142"/>
      <c r="BN6" s="143">
        <f t="shared" si="4"/>
        <v>1376000</v>
      </c>
    </row>
    <row r="7" spans="1:66" ht="15.75" x14ac:dyDescent="0.25">
      <c r="A7" s="51">
        <v>4</v>
      </c>
      <c r="B7" s="51" t="s">
        <v>277</v>
      </c>
      <c r="C7" s="51" t="s">
        <v>281</v>
      </c>
      <c r="D7" s="76" t="s">
        <v>279</v>
      </c>
      <c r="E7" s="140" t="s">
        <v>26</v>
      </c>
      <c r="F7" s="140">
        <v>1</v>
      </c>
      <c r="G7" s="140"/>
      <c r="H7" s="140"/>
      <c r="I7" s="140" t="s">
        <v>26</v>
      </c>
      <c r="J7" s="140">
        <v>1</v>
      </c>
      <c r="K7" s="140"/>
      <c r="L7" s="140"/>
      <c r="M7" s="140">
        <v>8</v>
      </c>
      <c r="N7" s="142"/>
      <c r="O7" s="140"/>
      <c r="P7" s="140"/>
      <c r="Q7" s="140" t="s">
        <v>26</v>
      </c>
      <c r="R7" s="140"/>
      <c r="S7" s="140"/>
      <c r="T7" s="140"/>
      <c r="U7" s="141" t="s">
        <v>26</v>
      </c>
      <c r="V7" s="140">
        <v>1</v>
      </c>
      <c r="W7" s="141"/>
      <c r="X7" s="141"/>
      <c r="Y7" s="142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>
        <f t="shared" si="0"/>
        <v>4</v>
      </c>
      <c r="BJ7" s="140">
        <f t="shared" si="1"/>
        <v>0</v>
      </c>
      <c r="BK7" s="140">
        <f t="shared" si="2"/>
        <v>3</v>
      </c>
      <c r="BL7" s="140">
        <f t="shared" si="3"/>
        <v>8</v>
      </c>
      <c r="BM7" s="142"/>
      <c r="BN7" s="143">
        <f t="shared" si="4"/>
        <v>1376000</v>
      </c>
    </row>
    <row r="8" spans="1:66" ht="15.75" x14ac:dyDescent="0.25">
      <c r="A8" s="51">
        <v>5</v>
      </c>
      <c r="B8" s="51" t="s">
        <v>277</v>
      </c>
      <c r="C8" s="52" t="s">
        <v>282</v>
      </c>
      <c r="D8" s="76" t="s">
        <v>279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1" t="s">
        <v>26</v>
      </c>
      <c r="V8" s="140"/>
      <c r="W8" s="142"/>
      <c r="X8" s="142"/>
      <c r="Y8" s="142" t="s">
        <v>26</v>
      </c>
      <c r="Z8" s="140">
        <v>2.5</v>
      </c>
      <c r="AA8" s="140"/>
      <c r="AB8" s="140"/>
      <c r="AC8" s="140" t="s">
        <v>26</v>
      </c>
      <c r="AD8" s="140">
        <v>3.5</v>
      </c>
      <c r="AE8" s="140"/>
      <c r="AF8" s="140"/>
      <c r="AG8" s="140" t="s">
        <v>26</v>
      </c>
      <c r="AH8" s="140">
        <v>3.5</v>
      </c>
      <c r="AI8" s="140"/>
      <c r="AJ8" s="140"/>
      <c r="AK8" s="140" t="s">
        <v>26</v>
      </c>
      <c r="AL8" s="140">
        <v>1</v>
      </c>
      <c r="AM8" s="140"/>
      <c r="AN8" s="140"/>
      <c r="AO8" s="140"/>
      <c r="AP8" s="140"/>
      <c r="AQ8" s="140"/>
      <c r="AR8" s="140"/>
      <c r="AS8" s="140" t="s">
        <v>26</v>
      </c>
      <c r="AT8" s="140">
        <v>4.5</v>
      </c>
      <c r="AU8" s="140"/>
      <c r="AV8" s="140"/>
      <c r="AW8" s="140" t="s">
        <v>26</v>
      </c>
      <c r="AX8" s="140"/>
      <c r="AY8" s="140"/>
      <c r="AZ8" s="140"/>
      <c r="BA8" s="140" t="s">
        <v>26</v>
      </c>
      <c r="BB8" s="140"/>
      <c r="BC8" s="140"/>
      <c r="BD8" s="140"/>
      <c r="BE8" s="140" t="s">
        <v>26</v>
      </c>
      <c r="BF8" s="140"/>
      <c r="BG8" s="140"/>
      <c r="BH8" s="140"/>
      <c r="BI8" s="140">
        <f t="shared" si="0"/>
        <v>9</v>
      </c>
      <c r="BJ8" s="140">
        <f t="shared" si="1"/>
        <v>0</v>
      </c>
      <c r="BK8" s="140">
        <f t="shared" si="2"/>
        <v>15</v>
      </c>
      <c r="BL8" s="140">
        <f t="shared" si="3"/>
        <v>0</v>
      </c>
      <c r="BM8" s="142"/>
      <c r="BN8" s="143">
        <f t="shared" si="4"/>
        <v>2550000</v>
      </c>
    </row>
    <row r="9" spans="1:66" ht="15.75" x14ac:dyDescent="0.25">
      <c r="A9" s="51">
        <v>6</v>
      </c>
      <c r="B9" s="51" t="s">
        <v>277</v>
      </c>
      <c r="C9" s="52" t="s">
        <v>283</v>
      </c>
      <c r="D9" s="76" t="s">
        <v>279</v>
      </c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1" t="s">
        <v>26</v>
      </c>
      <c r="V9" s="140">
        <v>2.5</v>
      </c>
      <c r="W9" s="142"/>
      <c r="X9" s="142"/>
      <c r="Y9" s="142" t="s">
        <v>26</v>
      </c>
      <c r="Z9" s="140">
        <v>2.5</v>
      </c>
      <c r="AA9" s="140"/>
      <c r="AB9" s="140"/>
      <c r="AC9" s="140" t="s">
        <v>26</v>
      </c>
      <c r="AD9" s="140">
        <v>3.5</v>
      </c>
      <c r="AE9" s="140"/>
      <c r="AF9" s="140"/>
      <c r="AG9" s="140" t="s">
        <v>26</v>
      </c>
      <c r="AH9" s="140">
        <v>3.5</v>
      </c>
      <c r="AI9" s="140"/>
      <c r="AJ9" s="140"/>
      <c r="AK9" s="140" t="s">
        <v>26</v>
      </c>
      <c r="AL9" s="140">
        <v>1</v>
      </c>
      <c r="AM9" s="140"/>
      <c r="AN9" s="140"/>
      <c r="AO9" s="140"/>
      <c r="AP9" s="140"/>
      <c r="AQ9" s="140"/>
      <c r="AR9" s="140"/>
      <c r="AS9" s="140" t="s">
        <v>26</v>
      </c>
      <c r="AT9" s="140">
        <v>4.5</v>
      </c>
      <c r="AU9" s="140"/>
      <c r="AV9" s="140"/>
      <c r="AW9" s="140" t="s">
        <v>26</v>
      </c>
      <c r="AX9" s="140"/>
      <c r="AY9" s="140"/>
      <c r="AZ9" s="140"/>
      <c r="BA9" s="140" t="s">
        <v>26</v>
      </c>
      <c r="BB9" s="140"/>
      <c r="BC9" s="140"/>
      <c r="BD9" s="140"/>
      <c r="BE9" s="140" t="s">
        <v>26</v>
      </c>
      <c r="BF9" s="140"/>
      <c r="BG9" s="140"/>
      <c r="BH9" s="140"/>
      <c r="BI9" s="140">
        <f t="shared" si="0"/>
        <v>9</v>
      </c>
      <c r="BJ9" s="140">
        <f t="shared" si="1"/>
        <v>0</v>
      </c>
      <c r="BK9" s="140">
        <f t="shared" si="2"/>
        <v>17.5</v>
      </c>
      <c r="BL9" s="140">
        <f t="shared" si="3"/>
        <v>0</v>
      </c>
      <c r="BM9" s="142"/>
      <c r="BN9" s="143">
        <f t="shared" si="4"/>
        <v>2630000</v>
      </c>
    </row>
    <row r="10" spans="1:66" ht="15.75" x14ac:dyDescent="0.25">
      <c r="A10" s="51">
        <v>7</v>
      </c>
      <c r="B10" s="51" t="s">
        <v>277</v>
      </c>
      <c r="C10" s="52" t="s">
        <v>284</v>
      </c>
      <c r="D10" s="76" t="s">
        <v>279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2" t="s">
        <v>26</v>
      </c>
      <c r="V10" s="140">
        <v>2.5</v>
      </c>
      <c r="W10" s="142"/>
      <c r="X10" s="142"/>
      <c r="Y10" s="142" t="s">
        <v>26</v>
      </c>
      <c r="Z10" s="140">
        <v>3.5</v>
      </c>
      <c r="AA10" s="140"/>
      <c r="AB10" s="140"/>
      <c r="AC10" s="140" t="s">
        <v>26</v>
      </c>
      <c r="AD10" s="140">
        <v>3.5</v>
      </c>
      <c r="AE10" s="140"/>
      <c r="AF10" s="140"/>
      <c r="AG10" s="140" t="s">
        <v>26</v>
      </c>
      <c r="AH10" s="140">
        <v>3.5</v>
      </c>
      <c r="AI10" s="140"/>
      <c r="AJ10" s="140"/>
      <c r="AK10" s="140" t="s">
        <v>26</v>
      </c>
      <c r="AL10" s="140">
        <v>3.5</v>
      </c>
      <c r="AM10" s="140"/>
      <c r="AN10" s="140"/>
      <c r="AO10" s="140"/>
      <c r="AP10" s="140"/>
      <c r="AQ10" s="140"/>
      <c r="AR10" s="140"/>
      <c r="AS10" s="140" t="s">
        <v>26</v>
      </c>
      <c r="AT10" s="140">
        <v>4.5</v>
      </c>
      <c r="AU10" s="140"/>
      <c r="AV10" s="140"/>
      <c r="AW10" s="140" t="s">
        <v>26</v>
      </c>
      <c r="AX10" s="140"/>
      <c r="AY10" s="140"/>
      <c r="AZ10" s="140"/>
      <c r="BA10" s="140" t="s">
        <v>26</v>
      </c>
      <c r="BB10" s="140"/>
      <c r="BC10" s="140"/>
      <c r="BD10" s="140"/>
      <c r="BE10" s="140" t="s">
        <v>26</v>
      </c>
      <c r="BF10" s="140"/>
      <c r="BG10" s="140"/>
      <c r="BH10" s="140"/>
      <c r="BI10" s="140">
        <f t="shared" si="0"/>
        <v>9</v>
      </c>
      <c r="BJ10" s="140">
        <f t="shared" si="1"/>
        <v>0</v>
      </c>
      <c r="BK10" s="140">
        <f t="shared" si="2"/>
        <v>21</v>
      </c>
      <c r="BL10" s="140">
        <f t="shared" si="3"/>
        <v>0</v>
      </c>
      <c r="BM10" s="142"/>
      <c r="BN10" s="143">
        <f t="shared" si="4"/>
        <v>2742000</v>
      </c>
    </row>
    <row r="11" spans="1:66" ht="15.75" x14ac:dyDescent="0.25">
      <c r="A11" s="51">
        <v>8</v>
      </c>
      <c r="B11" s="51" t="s">
        <v>277</v>
      </c>
      <c r="C11" s="52" t="s">
        <v>285</v>
      </c>
      <c r="D11" s="76" t="s">
        <v>279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2" t="s">
        <v>26</v>
      </c>
      <c r="V11" s="140">
        <v>1</v>
      </c>
      <c r="W11" s="142"/>
      <c r="X11" s="142"/>
      <c r="Y11" s="142" t="s">
        <v>26</v>
      </c>
      <c r="Z11" s="140">
        <v>1</v>
      </c>
      <c r="AA11" s="140"/>
      <c r="AB11" s="140"/>
      <c r="AC11" s="140" t="s">
        <v>26</v>
      </c>
      <c r="AD11" s="140">
        <v>1</v>
      </c>
      <c r="AE11" s="140"/>
      <c r="AF11" s="140"/>
      <c r="AG11" s="140"/>
      <c r="AH11" s="140"/>
      <c r="AI11" s="140"/>
      <c r="AJ11" s="140"/>
      <c r="AK11" s="140" t="s">
        <v>26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 t="s">
        <v>26</v>
      </c>
      <c r="AX11" s="140"/>
      <c r="AY11" s="140"/>
      <c r="AZ11" s="140"/>
      <c r="BA11" s="140" t="s">
        <v>26</v>
      </c>
      <c r="BB11" s="140"/>
      <c r="BC11" s="140"/>
      <c r="BD11" s="140"/>
      <c r="BE11" s="140" t="s">
        <v>90</v>
      </c>
      <c r="BF11" s="140"/>
      <c r="BG11" s="140"/>
      <c r="BH11" s="140"/>
      <c r="BI11" s="140">
        <f t="shared" si="0"/>
        <v>6</v>
      </c>
      <c r="BJ11" s="140">
        <f t="shared" si="1"/>
        <v>1</v>
      </c>
      <c r="BK11" s="140">
        <f t="shared" si="2"/>
        <v>3</v>
      </c>
      <c r="BL11" s="140">
        <f t="shared" si="3"/>
        <v>0</v>
      </c>
      <c r="BM11" s="142"/>
      <c r="BN11" s="143">
        <f t="shared" si="4"/>
        <v>1591000</v>
      </c>
    </row>
    <row r="12" spans="1:66" ht="15.75" x14ac:dyDescent="0.25">
      <c r="A12" s="51">
        <v>9</v>
      </c>
      <c r="B12" s="51" t="s">
        <v>277</v>
      </c>
      <c r="C12" s="52" t="s">
        <v>286</v>
      </c>
      <c r="D12" s="76" t="s">
        <v>279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2"/>
      <c r="V12" s="140"/>
      <c r="W12" s="142"/>
      <c r="X12" s="142"/>
      <c r="Y12" s="142"/>
      <c r="Z12" s="140"/>
      <c r="AA12" s="140"/>
      <c r="AB12" s="140"/>
      <c r="AC12" s="140"/>
      <c r="AD12" s="140"/>
      <c r="AE12" s="140"/>
      <c r="AF12" s="140"/>
      <c r="AG12" s="140" t="s">
        <v>26</v>
      </c>
      <c r="AH12" s="140">
        <v>3.5</v>
      </c>
      <c r="AI12" s="140"/>
      <c r="AJ12" s="140"/>
      <c r="AK12" s="140" t="s">
        <v>26</v>
      </c>
      <c r="AL12" s="140">
        <v>1</v>
      </c>
      <c r="AM12" s="140"/>
      <c r="AN12" s="140"/>
      <c r="AO12" s="140"/>
      <c r="AP12" s="140"/>
      <c r="AQ12" s="140"/>
      <c r="AR12" s="140"/>
      <c r="AS12" s="140" t="s">
        <v>26</v>
      </c>
      <c r="AT12" s="140">
        <v>4.5</v>
      </c>
      <c r="AU12" s="140"/>
      <c r="AV12" s="140"/>
      <c r="AW12" s="140" t="s">
        <v>26</v>
      </c>
      <c r="AX12" s="140"/>
      <c r="AY12" s="140"/>
      <c r="AZ12" s="140"/>
      <c r="BA12" s="140" t="s">
        <v>26</v>
      </c>
      <c r="BB12" s="140"/>
      <c r="BC12" s="140"/>
      <c r="BD12" s="140"/>
      <c r="BE12" s="140" t="s">
        <v>26</v>
      </c>
      <c r="BF12" s="140"/>
      <c r="BG12" s="140"/>
      <c r="BH12" s="140"/>
      <c r="BI12" s="140">
        <f t="shared" si="0"/>
        <v>6</v>
      </c>
      <c r="BJ12" s="140">
        <f t="shared" si="1"/>
        <v>0</v>
      </c>
      <c r="BK12" s="140">
        <f t="shared" si="2"/>
        <v>9</v>
      </c>
      <c r="BL12" s="140">
        <f t="shared" si="3"/>
        <v>0</v>
      </c>
      <c r="BM12" s="142"/>
      <c r="BN12" s="143">
        <f t="shared" si="4"/>
        <v>1668000</v>
      </c>
    </row>
    <row r="13" spans="1:66" ht="15.75" x14ac:dyDescent="0.25">
      <c r="A13" s="51">
        <v>10</v>
      </c>
      <c r="B13" s="51" t="s">
        <v>277</v>
      </c>
      <c r="C13" s="51" t="s">
        <v>287</v>
      </c>
      <c r="D13" s="76" t="s">
        <v>279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1"/>
      <c r="V13" s="140"/>
      <c r="W13" s="142"/>
      <c r="X13" s="142"/>
      <c r="Y13" s="141"/>
      <c r="Z13" s="140"/>
      <c r="AA13" s="140"/>
      <c r="AB13" s="140"/>
      <c r="AC13" s="140"/>
      <c r="AD13" s="140"/>
      <c r="AE13" s="140"/>
      <c r="AF13" s="140"/>
      <c r="AG13" s="140" t="s">
        <v>26</v>
      </c>
      <c r="AH13" s="140">
        <v>3.5</v>
      </c>
      <c r="AI13" s="140"/>
      <c r="AJ13" s="140"/>
      <c r="AK13" s="140" t="s">
        <v>26</v>
      </c>
      <c r="AL13" s="140">
        <v>1</v>
      </c>
      <c r="AM13" s="140"/>
      <c r="AN13" s="140"/>
      <c r="AO13" s="140"/>
      <c r="AP13" s="140"/>
      <c r="AQ13" s="140"/>
      <c r="AR13" s="140"/>
      <c r="AS13" s="140" t="s">
        <v>26</v>
      </c>
      <c r="AT13" s="140">
        <v>3.5</v>
      </c>
      <c r="AU13" s="140"/>
      <c r="AV13" s="140"/>
      <c r="AW13" s="140" t="s">
        <v>26</v>
      </c>
      <c r="AX13" s="140"/>
      <c r="AY13" s="140"/>
      <c r="AZ13" s="140"/>
      <c r="BA13" s="140" t="s">
        <v>26</v>
      </c>
      <c r="BB13" s="140"/>
      <c r="BC13" s="140"/>
      <c r="BD13" s="140"/>
      <c r="BE13" s="140" t="s">
        <v>26</v>
      </c>
      <c r="BF13" s="140"/>
      <c r="BG13" s="140"/>
      <c r="BH13" s="140"/>
      <c r="BI13" s="140">
        <f t="shared" si="0"/>
        <v>6</v>
      </c>
      <c r="BJ13" s="140">
        <f t="shared" si="1"/>
        <v>0</v>
      </c>
      <c r="BK13" s="140">
        <f t="shared" si="2"/>
        <v>8</v>
      </c>
      <c r="BL13" s="140">
        <f t="shared" si="3"/>
        <v>0</v>
      </c>
      <c r="BM13" s="142"/>
      <c r="BN13" s="143">
        <f t="shared" si="4"/>
        <v>1636000</v>
      </c>
    </row>
    <row r="14" spans="1:66" ht="15.75" x14ac:dyDescent="0.25">
      <c r="A14" s="51">
        <v>13</v>
      </c>
      <c r="B14" s="142" t="s">
        <v>277</v>
      </c>
      <c r="C14" s="142" t="s">
        <v>288</v>
      </c>
      <c r="D14" s="76" t="s">
        <v>279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2"/>
      <c r="V14" s="140"/>
      <c r="W14" s="142"/>
      <c r="X14" s="142"/>
      <c r="Y14" s="142"/>
      <c r="Z14" s="140"/>
      <c r="AA14" s="140"/>
      <c r="AB14" s="140"/>
      <c r="AC14" s="140"/>
      <c r="AD14" s="140"/>
      <c r="AE14" s="140"/>
      <c r="AF14" s="140"/>
      <c r="AG14" s="140" t="s">
        <v>26</v>
      </c>
      <c r="AH14" s="140">
        <v>3.5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 t="s">
        <v>26</v>
      </c>
      <c r="AT14" s="140">
        <v>4.5</v>
      </c>
      <c r="AU14" s="140"/>
      <c r="AV14" s="140"/>
      <c r="AW14" s="140" t="s">
        <v>26</v>
      </c>
      <c r="AX14" s="140"/>
      <c r="AY14" s="140"/>
      <c r="AZ14" s="140"/>
      <c r="BA14" s="140" t="s">
        <v>26</v>
      </c>
      <c r="BB14" s="140"/>
      <c r="BC14" s="140"/>
      <c r="BD14" s="140"/>
      <c r="BE14" s="140" t="s">
        <v>26</v>
      </c>
      <c r="BF14" s="140"/>
      <c r="BG14" s="140"/>
      <c r="BH14" s="140"/>
      <c r="BI14" s="140">
        <f t="shared" si="0"/>
        <v>5</v>
      </c>
      <c r="BJ14" s="140">
        <f t="shared" si="1"/>
        <v>0</v>
      </c>
      <c r="BK14" s="140">
        <f>F14+J14+V14+Z14+AD14++AH14+AL14+AT14+AX14+BB14+BF14</f>
        <v>8</v>
      </c>
      <c r="BL14" s="140">
        <f t="shared" si="3"/>
        <v>0</v>
      </c>
      <c r="BM14" s="142"/>
      <c r="BN14" s="143">
        <f t="shared" si="4"/>
        <v>1406000</v>
      </c>
    </row>
    <row r="15" spans="1:66" ht="15.75" x14ac:dyDescent="0.25">
      <c r="A15" s="51">
        <v>15</v>
      </c>
      <c r="B15" s="51" t="s">
        <v>277</v>
      </c>
      <c r="C15" s="52" t="s">
        <v>289</v>
      </c>
      <c r="D15" s="76" t="s">
        <v>279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2"/>
      <c r="V15" s="140"/>
      <c r="W15" s="142"/>
      <c r="X15" s="142"/>
      <c r="Y15" s="142"/>
      <c r="Z15" s="140"/>
      <c r="AA15" s="140"/>
      <c r="AB15" s="140"/>
      <c r="AC15" s="140"/>
      <c r="AD15" s="140"/>
      <c r="AE15" s="140"/>
      <c r="AF15" s="140"/>
      <c r="AG15" s="140" t="s">
        <v>26</v>
      </c>
      <c r="AH15" s="140">
        <v>3.5</v>
      </c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 t="s">
        <v>26</v>
      </c>
      <c r="AT15" s="140">
        <v>4.5</v>
      </c>
      <c r="AU15" s="140"/>
      <c r="AV15" s="140"/>
      <c r="AW15" s="140" t="s">
        <v>26</v>
      </c>
      <c r="AX15" s="140"/>
      <c r="AY15" s="140"/>
      <c r="AZ15" s="140"/>
      <c r="BA15" s="140" t="s">
        <v>26</v>
      </c>
      <c r="BB15" s="140"/>
      <c r="BC15" s="140"/>
      <c r="BD15" s="140"/>
      <c r="BE15" s="140" t="s">
        <v>26</v>
      </c>
      <c r="BF15" s="140"/>
      <c r="BG15" s="140"/>
      <c r="BH15" s="140"/>
      <c r="BI15" s="140">
        <f t="shared" si="0"/>
        <v>5</v>
      </c>
      <c r="BJ15" s="140">
        <f t="shared" si="1"/>
        <v>0</v>
      </c>
      <c r="BK15" s="140">
        <f t="shared" si="2"/>
        <v>8</v>
      </c>
      <c r="BL15" s="140">
        <f t="shared" si="3"/>
        <v>0</v>
      </c>
      <c r="BM15" s="142"/>
      <c r="BN15" s="143">
        <f t="shared" si="4"/>
        <v>1406000</v>
      </c>
    </row>
    <row r="16" spans="1:66" ht="15.75" x14ac:dyDescent="0.25">
      <c r="A16" s="36">
        <v>16</v>
      </c>
      <c r="B16" s="38" t="s">
        <v>277</v>
      </c>
      <c r="C16" s="144" t="s">
        <v>290</v>
      </c>
      <c r="D16" s="58" t="s">
        <v>279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44"/>
      <c r="V16" s="138"/>
      <c r="W16" s="144"/>
      <c r="X16" s="144"/>
      <c r="Y16" s="144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 t="s">
        <v>26</v>
      </c>
      <c r="AT16" s="138">
        <v>4.5</v>
      </c>
      <c r="AU16" s="138"/>
      <c r="AV16" s="138"/>
      <c r="AW16" s="138" t="s">
        <v>26</v>
      </c>
      <c r="AX16" s="138"/>
      <c r="AY16" s="138"/>
      <c r="AZ16" s="138"/>
      <c r="BA16" s="138" t="s">
        <v>26</v>
      </c>
      <c r="BB16" s="138"/>
      <c r="BC16" s="138"/>
      <c r="BD16" s="138"/>
      <c r="BE16" s="138" t="s">
        <v>26</v>
      </c>
      <c r="BF16" s="138"/>
      <c r="BG16" s="138"/>
      <c r="BH16" s="138"/>
      <c r="BI16" s="138">
        <f t="shared" si="0"/>
        <v>4</v>
      </c>
      <c r="BJ16" s="138">
        <f t="shared" si="1"/>
        <v>0</v>
      </c>
      <c r="BK16" s="138">
        <f>F16+J16+V16+Z16+AD16++AH16+AL16+AT16+AX16+BB16+BF16</f>
        <v>4.5</v>
      </c>
      <c r="BL16" s="138">
        <f t="shared" si="3"/>
        <v>0</v>
      </c>
      <c r="BM16" s="144"/>
      <c r="BN16" s="143"/>
    </row>
    <row r="17" spans="1:66" ht="15.75" x14ac:dyDescent="0.25">
      <c r="A17" s="36">
        <v>17</v>
      </c>
      <c r="B17" s="38" t="s">
        <v>277</v>
      </c>
      <c r="C17" s="144" t="s">
        <v>291</v>
      </c>
      <c r="D17" s="58" t="s">
        <v>279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44"/>
      <c r="V17" s="138"/>
      <c r="W17" s="144"/>
      <c r="X17" s="144"/>
      <c r="Y17" s="144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 t="s">
        <v>26</v>
      </c>
      <c r="AT17" s="138"/>
      <c r="AU17" s="138"/>
      <c r="AV17" s="138"/>
      <c r="AW17" s="138" t="s">
        <v>26</v>
      </c>
      <c r="AX17" s="138"/>
      <c r="AY17" s="138"/>
      <c r="AZ17" s="138"/>
      <c r="BA17" s="138" t="s">
        <v>26</v>
      </c>
      <c r="BB17" s="138"/>
      <c r="BC17" s="138"/>
      <c r="BD17" s="138"/>
      <c r="BE17" s="138" t="s">
        <v>26</v>
      </c>
      <c r="BF17" s="138"/>
      <c r="BG17" s="138"/>
      <c r="BH17" s="138"/>
      <c r="BI17" s="138">
        <f t="shared" si="0"/>
        <v>4</v>
      </c>
      <c r="BJ17" s="138">
        <f t="shared" si="1"/>
        <v>0</v>
      </c>
      <c r="BK17" s="138">
        <f t="shared" si="2"/>
        <v>0</v>
      </c>
      <c r="BL17" s="138">
        <f t="shared" si="3"/>
        <v>0</v>
      </c>
      <c r="BM17" s="144"/>
      <c r="BN17" s="143"/>
    </row>
    <row r="18" spans="1:66" ht="15.75" x14ac:dyDescent="0.25">
      <c r="A18" s="36">
        <v>18</v>
      </c>
      <c r="B18" s="38" t="s">
        <v>277</v>
      </c>
      <c r="C18" s="144" t="s">
        <v>292</v>
      </c>
      <c r="D18" s="58" t="s">
        <v>279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44"/>
      <c r="V18" s="138"/>
      <c r="W18" s="144"/>
      <c r="X18" s="144"/>
      <c r="Y18" s="144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 t="s">
        <v>26</v>
      </c>
      <c r="AT18" s="138"/>
      <c r="AU18" s="138"/>
      <c r="AV18" s="138"/>
      <c r="AW18" s="138" t="s">
        <v>26</v>
      </c>
      <c r="AX18" s="138"/>
      <c r="AY18" s="138"/>
      <c r="AZ18" s="138"/>
      <c r="BA18" s="138" t="s">
        <v>90</v>
      </c>
      <c r="BB18" s="138"/>
      <c r="BC18" s="138"/>
      <c r="BD18" s="138"/>
      <c r="BE18" s="138"/>
      <c r="BF18" s="138"/>
      <c r="BG18" s="138"/>
      <c r="BH18" s="138"/>
      <c r="BI18" s="138">
        <f t="shared" si="0"/>
        <v>2</v>
      </c>
      <c r="BJ18" s="138">
        <f t="shared" si="1"/>
        <v>1</v>
      </c>
      <c r="BK18" s="138">
        <f t="shared" si="2"/>
        <v>0</v>
      </c>
      <c r="BL18" s="138">
        <f t="shared" si="3"/>
        <v>0</v>
      </c>
      <c r="BM18" s="144"/>
      <c r="BN18" s="143"/>
    </row>
    <row r="19" spans="1:66" ht="15.75" x14ac:dyDescent="0.25">
      <c r="A19" s="36">
        <v>19</v>
      </c>
      <c r="B19" s="38" t="s">
        <v>277</v>
      </c>
      <c r="C19" s="144" t="s">
        <v>293</v>
      </c>
      <c r="D19" s="58" t="s">
        <v>279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44"/>
      <c r="V19" s="138"/>
      <c r="W19" s="144"/>
      <c r="X19" s="144"/>
      <c r="Y19" s="144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 t="s">
        <v>26</v>
      </c>
      <c r="AT19" s="138">
        <v>4.5</v>
      </c>
      <c r="AU19" s="138"/>
      <c r="AV19" s="138"/>
      <c r="AW19" s="138" t="s">
        <v>26</v>
      </c>
      <c r="AX19" s="138"/>
      <c r="AY19" s="138"/>
      <c r="AZ19" s="138"/>
      <c r="BA19" s="138"/>
      <c r="BB19" s="138"/>
      <c r="BC19" s="138"/>
      <c r="BD19" s="138"/>
      <c r="BE19" s="138" t="s">
        <v>26</v>
      </c>
      <c r="BF19" s="138"/>
      <c r="BG19" s="138"/>
      <c r="BH19" s="138"/>
      <c r="BI19" s="138">
        <f t="shared" si="0"/>
        <v>3</v>
      </c>
      <c r="BJ19" s="138">
        <f t="shared" si="1"/>
        <v>0</v>
      </c>
      <c r="BK19" s="138">
        <f t="shared" si="2"/>
        <v>4.5</v>
      </c>
      <c r="BL19" s="138">
        <f t="shared" si="3"/>
        <v>0</v>
      </c>
      <c r="BM19" s="144"/>
      <c r="BN19" s="143"/>
    </row>
    <row r="20" spans="1:66" ht="15.75" x14ac:dyDescent="0.25">
      <c r="A20" s="36">
        <v>20</v>
      </c>
      <c r="B20" s="38" t="s">
        <v>277</v>
      </c>
      <c r="C20" s="144" t="s">
        <v>294</v>
      </c>
      <c r="D20" s="58" t="s">
        <v>279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44"/>
      <c r="V20" s="138"/>
      <c r="W20" s="144"/>
      <c r="X20" s="144"/>
      <c r="Y20" s="144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 t="s">
        <v>26</v>
      </c>
      <c r="AT20" s="138">
        <v>4.5</v>
      </c>
      <c r="AU20" s="138"/>
      <c r="AV20" s="138"/>
      <c r="AW20" s="138" t="s">
        <v>26</v>
      </c>
      <c r="AX20" s="138"/>
      <c r="AY20" s="138"/>
      <c r="AZ20" s="138"/>
      <c r="BA20" s="138" t="s">
        <v>26</v>
      </c>
      <c r="BB20" s="138"/>
      <c r="BC20" s="138"/>
      <c r="BD20" s="138"/>
      <c r="BE20" s="138" t="s">
        <v>26</v>
      </c>
      <c r="BF20" s="138"/>
      <c r="BG20" s="138"/>
      <c r="BH20" s="138"/>
      <c r="BI20" s="138">
        <f t="shared" si="0"/>
        <v>4</v>
      </c>
      <c r="BJ20" s="138">
        <f t="shared" si="1"/>
        <v>0</v>
      </c>
      <c r="BK20" s="138">
        <f t="shared" si="2"/>
        <v>4.5</v>
      </c>
      <c r="BL20" s="138">
        <f t="shared" si="3"/>
        <v>0</v>
      </c>
      <c r="BM20" s="144"/>
      <c r="BN20" s="143"/>
    </row>
    <row r="21" spans="1:66" ht="15.75" x14ac:dyDescent="0.25">
      <c r="A21" s="36">
        <v>21</v>
      </c>
      <c r="B21" s="38" t="s">
        <v>277</v>
      </c>
      <c r="C21" s="144" t="s">
        <v>295</v>
      </c>
      <c r="D21" s="58" t="s">
        <v>279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44"/>
      <c r="V21" s="138"/>
      <c r="W21" s="144"/>
      <c r="X21" s="144"/>
      <c r="Y21" s="144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 t="s">
        <v>26</v>
      </c>
      <c r="AX21" s="138"/>
      <c r="AY21" s="138"/>
      <c r="AZ21" s="138"/>
      <c r="BA21" s="138" t="s">
        <v>26</v>
      </c>
      <c r="BB21" s="138"/>
      <c r="BC21" s="138"/>
      <c r="BD21" s="138"/>
      <c r="BE21" s="138" t="s">
        <v>26</v>
      </c>
      <c r="BF21" s="138"/>
      <c r="BG21" s="138"/>
      <c r="BH21" s="138"/>
      <c r="BI21" s="138">
        <f t="shared" si="0"/>
        <v>3</v>
      </c>
      <c r="BJ21" s="138">
        <f t="shared" si="1"/>
        <v>0</v>
      </c>
      <c r="BK21" s="138">
        <f t="shared" si="2"/>
        <v>0</v>
      </c>
      <c r="BL21" s="138">
        <f t="shared" si="3"/>
        <v>0</v>
      </c>
      <c r="BM21" s="144"/>
      <c r="BN21" s="143"/>
    </row>
    <row r="22" spans="1:66" ht="15.75" x14ac:dyDescent="0.25">
      <c r="A22" s="36">
        <v>22</v>
      </c>
      <c r="B22" s="38" t="s">
        <v>277</v>
      </c>
      <c r="C22" s="144" t="s">
        <v>296</v>
      </c>
      <c r="D22" s="58" t="s">
        <v>279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44"/>
      <c r="V22" s="138"/>
      <c r="W22" s="144"/>
      <c r="X22" s="144"/>
      <c r="Y22" s="144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 t="s">
        <v>26</v>
      </c>
      <c r="BB22" s="138"/>
      <c r="BC22" s="138"/>
      <c r="BD22" s="138"/>
      <c r="BE22" s="138" t="s">
        <v>26</v>
      </c>
      <c r="BF22" s="138"/>
      <c r="BG22" s="138"/>
      <c r="BH22" s="138"/>
      <c r="BI22" s="138">
        <f t="shared" si="0"/>
        <v>2</v>
      </c>
      <c r="BJ22" s="138">
        <f t="shared" si="1"/>
        <v>0</v>
      </c>
      <c r="BK22" s="138">
        <f t="shared" si="2"/>
        <v>0</v>
      </c>
      <c r="BL22" s="138">
        <f t="shared" si="3"/>
        <v>0</v>
      </c>
      <c r="BM22" s="144"/>
      <c r="BN22" s="143"/>
    </row>
    <row r="23" spans="1:66" ht="15.75" x14ac:dyDescent="0.25">
      <c r="A23" s="36">
        <v>23</v>
      </c>
      <c r="B23" s="38" t="s">
        <v>277</v>
      </c>
      <c r="C23" s="144" t="s">
        <v>297</v>
      </c>
      <c r="D23" s="58" t="s">
        <v>279</v>
      </c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44"/>
      <c r="V23" s="138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 t="s">
        <v>26</v>
      </c>
      <c r="BF23" s="144"/>
      <c r="BG23" s="144"/>
      <c r="BH23" s="144"/>
      <c r="BI23" s="138">
        <f t="shared" si="0"/>
        <v>1</v>
      </c>
      <c r="BJ23" s="138">
        <f t="shared" si="1"/>
        <v>0</v>
      </c>
      <c r="BK23" s="138">
        <f t="shared" si="2"/>
        <v>0</v>
      </c>
      <c r="BL23" s="138">
        <f t="shared" si="3"/>
        <v>0</v>
      </c>
      <c r="BM23" s="144"/>
      <c r="BN23" s="143"/>
    </row>
    <row r="24" spans="1:66" ht="15.75" x14ac:dyDescent="0.25">
      <c r="A24" s="36">
        <v>24</v>
      </c>
      <c r="B24" s="38" t="s">
        <v>277</v>
      </c>
      <c r="C24" s="144" t="s">
        <v>298</v>
      </c>
      <c r="D24" s="58" t="s">
        <v>279</v>
      </c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44"/>
      <c r="V24" s="138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 t="s">
        <v>26</v>
      </c>
      <c r="BF24" s="144"/>
      <c r="BG24" s="144"/>
      <c r="BH24" s="144"/>
      <c r="BI24" s="138">
        <f t="shared" si="0"/>
        <v>1</v>
      </c>
      <c r="BJ24" s="138">
        <f t="shared" si="1"/>
        <v>0</v>
      </c>
      <c r="BK24" s="138">
        <f t="shared" si="2"/>
        <v>0</v>
      </c>
      <c r="BL24" s="138">
        <f t="shared" si="3"/>
        <v>0</v>
      </c>
      <c r="BM24" s="144"/>
      <c r="BN24" s="143"/>
    </row>
    <row r="25" spans="1:66" ht="15.75" x14ac:dyDescent="0.25">
      <c r="A25" s="36">
        <v>25</v>
      </c>
      <c r="B25" s="38" t="s">
        <v>277</v>
      </c>
      <c r="C25" s="144" t="s">
        <v>299</v>
      </c>
      <c r="D25" s="58" t="s">
        <v>279</v>
      </c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44"/>
      <c r="V25" s="138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 t="s">
        <v>26</v>
      </c>
      <c r="BB25" s="144"/>
      <c r="BC25" s="144"/>
      <c r="BD25" s="144"/>
      <c r="BE25" s="144"/>
      <c r="BF25" s="144"/>
      <c r="BG25" s="144"/>
      <c r="BH25" s="144"/>
      <c r="BI25" s="138">
        <f t="shared" si="0"/>
        <v>1</v>
      </c>
      <c r="BJ25" s="138">
        <f t="shared" si="1"/>
        <v>0</v>
      </c>
      <c r="BK25" s="138">
        <f t="shared" si="2"/>
        <v>0</v>
      </c>
      <c r="BL25" s="138">
        <f t="shared" si="3"/>
        <v>0</v>
      </c>
      <c r="BM25" s="144"/>
      <c r="BN25" s="143"/>
    </row>
    <row r="26" spans="1:66" ht="15.75" x14ac:dyDescent="0.25">
      <c r="A26" s="36">
        <v>26</v>
      </c>
      <c r="B26" s="38" t="s">
        <v>277</v>
      </c>
      <c r="C26" s="144" t="s">
        <v>300</v>
      </c>
      <c r="D26" s="58" t="s">
        <v>279</v>
      </c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44"/>
      <c r="V26" s="138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 t="s">
        <v>26</v>
      </c>
      <c r="BB26" s="144"/>
      <c r="BC26" s="144"/>
      <c r="BD26" s="144"/>
      <c r="BE26" s="144"/>
      <c r="BF26" s="144"/>
      <c r="BG26" s="144"/>
      <c r="BH26" s="144"/>
      <c r="BI26" s="138">
        <f t="shared" si="0"/>
        <v>1</v>
      </c>
      <c r="BJ26" s="138">
        <f t="shared" si="1"/>
        <v>0</v>
      </c>
      <c r="BK26" s="138">
        <f t="shared" si="2"/>
        <v>0</v>
      </c>
      <c r="BL26" s="138">
        <f t="shared" si="3"/>
        <v>0</v>
      </c>
      <c r="BM26" s="144"/>
      <c r="BN26" s="143"/>
    </row>
    <row r="27" spans="1:66" x14ac:dyDescent="0.25">
      <c r="A27" s="145"/>
      <c r="B27" s="145"/>
      <c r="C27" s="145" t="s">
        <v>266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6">
        <f>SUM(BN4:BN26)</f>
        <v>21393000</v>
      </c>
    </row>
  </sheetData>
  <mergeCells count="33">
    <mergeCell ref="AO2:AR2"/>
    <mergeCell ref="AS2:AV2"/>
    <mergeCell ref="AW2:AZ2"/>
    <mergeCell ref="BA2:BD2"/>
    <mergeCell ref="BE2:BH2"/>
    <mergeCell ref="BI1:BM2"/>
    <mergeCell ref="E2:H2"/>
    <mergeCell ref="I2:L2"/>
    <mergeCell ref="M2:P2"/>
    <mergeCell ref="Q2:T2"/>
    <mergeCell ref="U2:X2"/>
    <mergeCell ref="Y2:AB2"/>
    <mergeCell ref="AC2:AF2"/>
    <mergeCell ref="AG2:AJ2"/>
    <mergeCell ref="AK2:AN2"/>
    <mergeCell ref="AK1:AN1"/>
    <mergeCell ref="AO1:AR1"/>
    <mergeCell ref="AS1:AV1"/>
    <mergeCell ref="AW1:AZ1"/>
    <mergeCell ref="BA1:BD1"/>
    <mergeCell ref="BE1:BH1"/>
    <mergeCell ref="AG1:AJ1"/>
    <mergeCell ref="A1:A3"/>
    <mergeCell ref="B1:B3"/>
    <mergeCell ref="C1:C3"/>
    <mergeCell ref="D1:D3"/>
    <mergeCell ref="E1:H1"/>
    <mergeCell ref="I1:L1"/>
    <mergeCell ref="M1:P1"/>
    <mergeCell ref="Q1:T1"/>
    <mergeCell ref="U1:X1"/>
    <mergeCell ref="Y1:AB1"/>
    <mergeCell ref="AC1:A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DF75-9C4C-4F66-B17C-EBD5233131EC}">
  <sheetPr>
    <tabColor theme="4" tint="0.79998168889431442"/>
  </sheetPr>
  <dimension ref="A1:W27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4" sqref="H34"/>
    </sheetView>
  </sheetViews>
  <sheetFormatPr defaultRowHeight="15" x14ac:dyDescent="0.25"/>
  <cols>
    <col min="1" max="1" width="8.28515625" style="319" customWidth="1"/>
    <col min="2" max="2" width="28.85546875" style="319" customWidth="1"/>
    <col min="3" max="3" width="16.42578125" style="319" customWidth="1"/>
    <col min="4" max="4" width="15.42578125" style="319" customWidth="1"/>
    <col min="5" max="5" width="15" style="319" customWidth="1"/>
    <col min="6" max="6" width="11.28515625" style="319" customWidth="1"/>
    <col min="7" max="8" width="18.5703125" style="319" customWidth="1"/>
    <col min="9" max="10" width="10.7109375" style="319" customWidth="1"/>
    <col min="11" max="21" width="16.5703125" style="319" customWidth="1"/>
    <col min="22" max="22" width="16.140625" style="319" customWidth="1"/>
    <col min="23" max="23" width="18.5703125" style="319" customWidth="1"/>
    <col min="24" max="16384" width="9.140625" style="319"/>
  </cols>
  <sheetData>
    <row r="1" spans="1:23" ht="15.75" x14ac:dyDescent="0.25">
      <c r="B1" s="120" t="s">
        <v>242</v>
      </c>
      <c r="C1" s="320"/>
      <c r="D1" s="320"/>
      <c r="E1" s="320"/>
      <c r="F1" s="320"/>
      <c r="G1" s="321"/>
      <c r="H1" s="321"/>
      <c r="I1" s="321"/>
      <c r="J1" s="321"/>
      <c r="K1" s="320"/>
      <c r="L1" s="320"/>
      <c r="M1" s="320"/>
      <c r="N1" s="320"/>
      <c r="O1" s="320"/>
      <c r="P1" s="320"/>
      <c r="Q1" s="321"/>
      <c r="R1" s="321"/>
      <c r="S1" s="321"/>
      <c r="T1" s="321"/>
      <c r="U1" s="320"/>
      <c r="V1" s="320"/>
    </row>
    <row r="2" spans="1:23" ht="15.75" x14ac:dyDescent="0.25">
      <c r="A2" s="320"/>
      <c r="B2" s="122" t="s">
        <v>243</v>
      </c>
      <c r="C2" s="320"/>
      <c r="D2" s="320"/>
      <c r="E2" s="320"/>
      <c r="F2" s="320"/>
      <c r="G2" s="321"/>
      <c r="H2" s="321"/>
      <c r="I2" s="321"/>
      <c r="J2" s="321"/>
      <c r="K2" s="320"/>
      <c r="L2" s="320"/>
      <c r="M2" s="320"/>
      <c r="N2" s="320"/>
      <c r="O2" s="320"/>
      <c r="P2" s="320"/>
      <c r="Q2" s="152">
        <v>5000000</v>
      </c>
      <c r="R2" s="152">
        <v>10000000</v>
      </c>
      <c r="S2" s="152">
        <v>8000000</v>
      </c>
      <c r="T2" s="152">
        <v>18000000</v>
      </c>
      <c r="U2" s="152">
        <v>32000000</v>
      </c>
      <c r="V2" s="152">
        <v>52000000</v>
      </c>
    </row>
    <row r="3" spans="1:23" ht="15.75" x14ac:dyDescent="0.25">
      <c r="A3" s="320"/>
      <c r="B3" s="123"/>
      <c r="C3" s="320"/>
      <c r="D3" s="320"/>
      <c r="E3" s="320"/>
      <c r="F3" s="320"/>
      <c r="G3" s="321"/>
      <c r="H3" s="321"/>
      <c r="I3" s="321"/>
      <c r="J3" s="321"/>
      <c r="K3" s="320"/>
      <c r="L3" s="320"/>
      <c r="M3" s="320"/>
      <c r="N3" s="320"/>
      <c r="O3" s="320"/>
      <c r="P3" s="320"/>
      <c r="Q3" s="319">
        <v>0.05</v>
      </c>
      <c r="R3" s="319">
        <v>0.1</v>
      </c>
      <c r="S3" s="319">
        <v>0.15</v>
      </c>
      <c r="T3" s="319">
        <v>0.2</v>
      </c>
      <c r="U3" s="319">
        <v>0.25</v>
      </c>
      <c r="V3" s="319">
        <v>0.3</v>
      </c>
    </row>
    <row r="4" spans="1:23" ht="31.15" customHeight="1" x14ac:dyDescent="0.3">
      <c r="A4" s="231" t="s">
        <v>335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</row>
    <row r="5" spans="1:23" ht="16.5" thickBot="1" x14ac:dyDescent="0.3">
      <c r="A5" s="324" t="s">
        <v>244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</row>
    <row r="6" spans="1:23" ht="15.6" customHeight="1" x14ac:dyDescent="0.25">
      <c r="A6" s="325" t="s">
        <v>3</v>
      </c>
      <c r="B6" s="326" t="s">
        <v>245</v>
      </c>
      <c r="C6" s="326" t="s">
        <v>246</v>
      </c>
      <c r="D6" s="327" t="s">
        <v>247</v>
      </c>
      <c r="E6" s="327" t="s">
        <v>248</v>
      </c>
      <c r="F6" s="326" t="s">
        <v>249</v>
      </c>
      <c r="G6" s="326" t="s">
        <v>248</v>
      </c>
      <c r="H6" s="326" t="s">
        <v>314</v>
      </c>
      <c r="I6" s="265" t="s">
        <v>312</v>
      </c>
      <c r="J6" s="265"/>
      <c r="K6" s="326" t="s">
        <v>252</v>
      </c>
      <c r="L6" s="328" t="s">
        <v>306</v>
      </c>
      <c r="M6" s="329" t="s">
        <v>307</v>
      </c>
      <c r="N6" s="329"/>
      <c r="O6" s="329" t="s">
        <v>181</v>
      </c>
      <c r="P6" s="329" t="s">
        <v>308</v>
      </c>
      <c r="Q6" s="329" t="s">
        <v>309</v>
      </c>
      <c r="R6" s="265" t="s">
        <v>347</v>
      </c>
      <c r="S6" s="265"/>
      <c r="T6" s="265" t="s">
        <v>348</v>
      </c>
      <c r="U6" s="326" t="s">
        <v>160</v>
      </c>
      <c r="V6" s="330" t="s">
        <v>254</v>
      </c>
    </row>
    <row r="7" spans="1:23" ht="57.75" thickBot="1" x14ac:dyDescent="0.3">
      <c r="A7" s="331"/>
      <c r="B7" s="332"/>
      <c r="C7" s="332"/>
      <c r="D7" s="333"/>
      <c r="E7" s="333"/>
      <c r="F7" s="332"/>
      <c r="G7" s="332"/>
      <c r="H7" s="332"/>
      <c r="I7" s="334" t="s">
        <v>304</v>
      </c>
      <c r="J7" s="334" t="s">
        <v>305</v>
      </c>
      <c r="K7" s="332"/>
      <c r="L7" s="335"/>
      <c r="M7" s="336" t="s">
        <v>310</v>
      </c>
      <c r="N7" s="336" t="s">
        <v>311</v>
      </c>
      <c r="O7" s="337"/>
      <c r="P7" s="337"/>
      <c r="Q7" s="337"/>
      <c r="R7" s="338" t="s">
        <v>253</v>
      </c>
      <c r="S7" s="339" t="s">
        <v>313</v>
      </c>
      <c r="T7" s="274"/>
      <c r="U7" s="332"/>
      <c r="V7" s="340"/>
    </row>
    <row r="8" spans="1:23" ht="15.75" x14ac:dyDescent="0.25">
      <c r="A8" s="341">
        <v>1</v>
      </c>
      <c r="B8" s="342" t="s">
        <v>257</v>
      </c>
      <c r="C8" s="342" t="s">
        <v>258</v>
      </c>
      <c r="D8" s="343">
        <v>5000000</v>
      </c>
      <c r="E8" s="343">
        <f>+D8/26</f>
        <v>192307.69230769231</v>
      </c>
      <c r="F8" s="344">
        <v>25</v>
      </c>
      <c r="G8" s="343">
        <f>+D8</f>
        <v>5000000</v>
      </c>
      <c r="H8" s="343">
        <v>0</v>
      </c>
      <c r="I8" s="343">
        <v>0</v>
      </c>
      <c r="J8" s="343">
        <v>0</v>
      </c>
      <c r="K8" s="345">
        <f t="shared" ref="K8:K13" si="0">G8+H8-J8-I8</f>
        <v>5000000</v>
      </c>
      <c r="L8" s="345"/>
      <c r="M8" s="345">
        <v>11000000</v>
      </c>
      <c r="N8" s="345">
        <f>L8*4400000</f>
        <v>0</v>
      </c>
      <c r="O8" s="345">
        <f>N8+M8+I8</f>
        <v>11000000</v>
      </c>
      <c r="P8" s="345">
        <f>K8-O8</f>
        <v>-6000000</v>
      </c>
      <c r="Q8" s="346">
        <f>IF($A8="",0,IF(P8&lt;=0,0,IF(P8&lt;=5000000,P8*$Q$3,IF(P8&lt;=10000000,$Q$2*$Q$3+(P8-$R$2)*$R$3,IF(P8&lt;18000000,$Q$2*$Q$3+$Q$2*$R$3+(P8-$R$2)*$S$3,IF(P8&lt;=32000000,$Q$2*$Q$3+$Q$2*$R$3+$S$2*$S$3+(P8-$T$2)*$T$3))))))</f>
        <v>0</v>
      </c>
      <c r="R8" s="347"/>
      <c r="S8" s="347"/>
      <c r="T8" s="347">
        <f>SUM(R8:S8)</f>
        <v>0</v>
      </c>
      <c r="U8" s="348">
        <f>K8-T8</f>
        <v>5000000</v>
      </c>
      <c r="V8" s="349" t="s">
        <v>259</v>
      </c>
    </row>
    <row r="9" spans="1:23" ht="15.75" x14ac:dyDescent="0.25">
      <c r="A9" s="350">
        <v>2</v>
      </c>
      <c r="B9" s="36" t="s">
        <v>183</v>
      </c>
      <c r="C9" s="36" t="s">
        <v>36</v>
      </c>
      <c r="D9" s="125">
        <v>20000000</v>
      </c>
      <c r="E9" s="125">
        <f t="shared" ref="E9:E12" si="1">+D9/26</f>
        <v>769230.76923076925</v>
      </c>
      <c r="F9" s="58">
        <v>25</v>
      </c>
      <c r="G9" s="125">
        <f t="shared" ref="G9:G12" si="2">+D9</f>
        <v>20000000</v>
      </c>
      <c r="H9" s="125">
        <v>0</v>
      </c>
      <c r="I9" s="125">
        <v>0</v>
      </c>
      <c r="J9" s="125">
        <v>0</v>
      </c>
      <c r="K9" s="126">
        <f t="shared" si="0"/>
        <v>20000000</v>
      </c>
      <c r="L9" s="126">
        <v>2</v>
      </c>
      <c r="M9" s="126">
        <v>11000000</v>
      </c>
      <c r="N9" s="126">
        <f t="shared" ref="N9:N16" si="3">L9*4400000</f>
        <v>8800000</v>
      </c>
      <c r="O9" s="126">
        <f t="shared" ref="O9:O16" si="4">N9+M9+I9</f>
        <v>19800000</v>
      </c>
      <c r="P9" s="126">
        <f t="shared" ref="P9:P16" si="5">K9-O9</f>
        <v>200000</v>
      </c>
      <c r="Q9" s="151">
        <f>IF($A9="",0,IF(P9&lt;=0,0,IF(P9&lt;=5000000,P9*$Q$3,IF(P9&lt;=10000000,$Q$2*$Q$3+(P9-$R$2)*$R$3,IF(P9&lt;18000000,$Q$2*$Q$3+$Q$2*$R$3+(P9-$R$2)*$S$3,IF(P9&lt;=32000000,$Q$2*$Q$3+$Q$2*$R$3+$S$2*$S$3+(P9-$T$2)*$T$3))))))</f>
        <v>10000</v>
      </c>
      <c r="R9" s="127"/>
      <c r="S9" s="127"/>
      <c r="T9" s="127">
        <f t="shared" ref="T9:T16" si="6">SUM(R9:S9)</f>
        <v>0</v>
      </c>
      <c r="U9" s="128">
        <f t="shared" ref="U9:U16" si="7">K9-T9</f>
        <v>20000000</v>
      </c>
      <c r="V9" s="351" t="s">
        <v>259</v>
      </c>
    </row>
    <row r="10" spans="1:23" ht="15.75" x14ac:dyDescent="0.25">
      <c r="A10" s="350">
        <v>3</v>
      </c>
      <c r="B10" s="36" t="s">
        <v>260</v>
      </c>
      <c r="C10" s="36" t="s">
        <v>261</v>
      </c>
      <c r="D10" s="125">
        <v>20000000</v>
      </c>
      <c r="E10" s="125">
        <f t="shared" si="1"/>
        <v>769230.76923076925</v>
      </c>
      <c r="F10" s="58">
        <v>25</v>
      </c>
      <c r="G10" s="125">
        <f t="shared" si="2"/>
        <v>20000000</v>
      </c>
      <c r="H10" s="125">
        <v>0</v>
      </c>
      <c r="I10" s="125">
        <v>0</v>
      </c>
      <c r="J10" s="125">
        <v>0</v>
      </c>
      <c r="K10" s="126">
        <f t="shared" si="0"/>
        <v>20000000</v>
      </c>
      <c r="L10" s="126">
        <v>2</v>
      </c>
      <c r="M10" s="126"/>
      <c r="N10" s="126">
        <f t="shared" si="3"/>
        <v>8800000</v>
      </c>
      <c r="O10" s="126">
        <f t="shared" si="4"/>
        <v>8800000</v>
      </c>
      <c r="P10" s="126">
        <f t="shared" si="5"/>
        <v>11200000</v>
      </c>
      <c r="Q10" s="151">
        <f>IF($A10="",0,IF(P10&lt;=0,0,IF(P10&lt;=5000000,P10*$Q$3,IF(P10&lt;=10000000,$Q$2*$Q$3+(P10-$R$2)*$R$3,IF(P10&lt;18000000,$Q$2*$Q$3+$Q$2*$R$3+(P10-$R$2)*$S$3,IF(P10&lt;=32000000,$Q$2*$Q$3+$Q$2*$R$3+$S$2*$S$3+(P10-$T$2)*$T$3))))))</f>
        <v>930000</v>
      </c>
      <c r="R10" s="127"/>
      <c r="S10" s="127"/>
      <c r="T10" s="127">
        <f t="shared" si="6"/>
        <v>0</v>
      </c>
      <c r="U10" s="128">
        <f t="shared" si="7"/>
        <v>20000000</v>
      </c>
      <c r="V10" s="351" t="s">
        <v>259</v>
      </c>
    </row>
    <row r="11" spans="1:23" ht="15.75" x14ac:dyDescent="0.25">
      <c r="A11" s="350">
        <v>4</v>
      </c>
      <c r="B11" s="36" t="s">
        <v>262</v>
      </c>
      <c r="C11" s="36" t="s">
        <v>263</v>
      </c>
      <c r="D11" s="125">
        <v>15000000</v>
      </c>
      <c r="E11" s="125">
        <f t="shared" si="1"/>
        <v>576923.07692307688</v>
      </c>
      <c r="F11" s="58">
        <v>25</v>
      </c>
      <c r="G11" s="125">
        <f t="shared" si="2"/>
        <v>15000000</v>
      </c>
      <c r="H11" s="125">
        <v>0</v>
      </c>
      <c r="I11" s="125">
        <v>0</v>
      </c>
      <c r="J11" s="125">
        <v>0</v>
      </c>
      <c r="K11" s="126">
        <f t="shared" si="0"/>
        <v>15000000</v>
      </c>
      <c r="L11" s="126"/>
      <c r="M11" s="126">
        <v>11000000</v>
      </c>
      <c r="N11" s="126">
        <f t="shared" si="3"/>
        <v>0</v>
      </c>
      <c r="O11" s="126">
        <f t="shared" si="4"/>
        <v>11000000</v>
      </c>
      <c r="P11" s="126">
        <f t="shared" si="5"/>
        <v>4000000</v>
      </c>
      <c r="Q11" s="151">
        <f t="shared" ref="Q11:Q16" si="8">IF($A11="",0,IF(P11&lt;=0,0,IF(P11&lt;=5000000,P11*$Q$3,IF(P11&lt;=10000000,$Q$2*$Q$3+(P11-$R$2)*$R$3,IF(P11&lt;18000000,$Q$2*$Q$3+$Q$2*$R$3+(P11-$R$2)*$S$3,IF(P11&lt;=32000000,$Q$2*$Q$3+$Q$2*$R$3+$S$2*$S$3+(P11-$T$2)*$T$3))))))</f>
        <v>200000</v>
      </c>
      <c r="R11" s="127"/>
      <c r="S11" s="127"/>
      <c r="T11" s="127">
        <f t="shared" si="6"/>
        <v>0</v>
      </c>
      <c r="U11" s="128">
        <f t="shared" si="7"/>
        <v>15000000</v>
      </c>
      <c r="V11" s="351" t="s">
        <v>259</v>
      </c>
    </row>
    <row r="12" spans="1:23" ht="15.75" x14ac:dyDescent="0.25">
      <c r="A12" s="350">
        <v>5</v>
      </c>
      <c r="B12" s="36" t="s">
        <v>264</v>
      </c>
      <c r="C12" s="36" t="s">
        <v>265</v>
      </c>
      <c r="D12" s="125">
        <v>15000000</v>
      </c>
      <c r="E12" s="125">
        <f t="shared" si="1"/>
        <v>576923.07692307688</v>
      </c>
      <c r="F12" s="58">
        <v>25</v>
      </c>
      <c r="G12" s="125">
        <f t="shared" si="2"/>
        <v>15000000</v>
      </c>
      <c r="H12" s="125">
        <v>0</v>
      </c>
      <c r="I12" s="125">
        <v>0</v>
      </c>
      <c r="J12" s="125">
        <v>0</v>
      </c>
      <c r="K12" s="126">
        <f t="shared" si="0"/>
        <v>15000000</v>
      </c>
      <c r="L12" s="126"/>
      <c r="M12" s="126">
        <v>11000000</v>
      </c>
      <c r="N12" s="126">
        <f t="shared" si="3"/>
        <v>0</v>
      </c>
      <c r="O12" s="126">
        <f t="shared" si="4"/>
        <v>11000000</v>
      </c>
      <c r="P12" s="126">
        <f t="shared" si="5"/>
        <v>4000000</v>
      </c>
      <c r="Q12" s="151">
        <f t="shared" si="8"/>
        <v>200000</v>
      </c>
      <c r="R12" s="127"/>
      <c r="S12" s="127"/>
      <c r="T12" s="127">
        <f t="shared" si="6"/>
        <v>0</v>
      </c>
      <c r="U12" s="128">
        <f t="shared" si="7"/>
        <v>15000000</v>
      </c>
      <c r="V12" s="351" t="s">
        <v>259</v>
      </c>
    </row>
    <row r="13" spans="1:23" ht="15.75" x14ac:dyDescent="0.25">
      <c r="A13" s="289" t="s">
        <v>201</v>
      </c>
      <c r="B13" s="38" t="s">
        <v>24</v>
      </c>
      <c r="C13" s="36"/>
      <c r="D13" s="125">
        <v>13000000</v>
      </c>
      <c r="E13" s="125">
        <f>D13/$F$13</f>
        <v>500000</v>
      </c>
      <c r="F13" s="58">
        <v>26</v>
      </c>
      <c r="G13" s="125">
        <v>7094230.769230769</v>
      </c>
      <c r="H13" s="125">
        <v>6800000</v>
      </c>
      <c r="I13" s="125"/>
      <c r="J13" s="125"/>
      <c r="K13" s="126">
        <f t="shared" si="0"/>
        <v>13894230.769230768</v>
      </c>
      <c r="L13" s="126"/>
      <c r="M13" s="126">
        <v>11000000</v>
      </c>
      <c r="N13" s="126">
        <f t="shared" si="3"/>
        <v>0</v>
      </c>
      <c r="O13" s="126">
        <f>N13+M13+I13+894231</f>
        <v>11894231</v>
      </c>
      <c r="P13" s="126">
        <f t="shared" si="5"/>
        <v>1999999.7692307681</v>
      </c>
      <c r="Q13" s="151">
        <f t="shared" si="8"/>
        <v>99999.988461538407</v>
      </c>
      <c r="R13" s="127"/>
      <c r="S13" s="127"/>
      <c r="T13" s="127">
        <f t="shared" si="6"/>
        <v>0</v>
      </c>
      <c r="U13" s="128">
        <f t="shared" si="7"/>
        <v>13894230.769230768</v>
      </c>
      <c r="V13" s="351"/>
      <c r="W13" s="322"/>
    </row>
    <row r="14" spans="1:23" ht="15.75" x14ac:dyDescent="0.25">
      <c r="A14" s="289" t="s">
        <v>189</v>
      </c>
      <c r="B14" s="28" t="s">
        <v>186</v>
      </c>
      <c r="C14" s="36"/>
      <c r="D14" s="125">
        <v>11050000</v>
      </c>
      <c r="E14" s="125">
        <f t="shared" ref="E14:E16" si="9">D14/$F$13</f>
        <v>425000</v>
      </c>
      <c r="F14" s="58">
        <v>16</v>
      </c>
      <c r="G14" s="125">
        <v>3815384.6153846155</v>
      </c>
      <c r="H14" s="125">
        <v>2984615.384615385</v>
      </c>
      <c r="I14" s="125"/>
      <c r="J14" s="125"/>
      <c r="K14" s="126">
        <f t="shared" ref="K14:K16" si="10">G14+H14-J14-I14</f>
        <v>6800000</v>
      </c>
      <c r="L14" s="126"/>
      <c r="M14" s="126">
        <v>11000000</v>
      </c>
      <c r="N14" s="126">
        <f t="shared" si="3"/>
        <v>0</v>
      </c>
      <c r="O14" s="126">
        <f t="shared" si="4"/>
        <v>11000000</v>
      </c>
      <c r="P14" s="126">
        <f t="shared" si="5"/>
        <v>-4200000</v>
      </c>
      <c r="Q14" s="151">
        <f t="shared" si="8"/>
        <v>0</v>
      </c>
      <c r="R14" s="127"/>
      <c r="S14" s="127"/>
      <c r="T14" s="127">
        <f t="shared" si="6"/>
        <v>0</v>
      </c>
      <c r="U14" s="128">
        <f t="shared" si="7"/>
        <v>6800000</v>
      </c>
      <c r="V14" s="351"/>
      <c r="W14" s="322"/>
    </row>
    <row r="15" spans="1:23" ht="15.75" x14ac:dyDescent="0.25">
      <c r="A15" s="289" t="s">
        <v>190</v>
      </c>
      <c r="B15" s="28" t="s">
        <v>187</v>
      </c>
      <c r="C15" s="36"/>
      <c r="D15" s="125">
        <v>10200000</v>
      </c>
      <c r="E15" s="125">
        <f t="shared" si="9"/>
        <v>392307.69230769231</v>
      </c>
      <c r="F15" s="58">
        <v>21</v>
      </c>
      <c r="G15" s="125">
        <v>4569230.769230769</v>
      </c>
      <c r="H15" s="125">
        <v>4361538.461538461</v>
      </c>
      <c r="I15" s="125"/>
      <c r="J15" s="125"/>
      <c r="K15" s="126">
        <f t="shared" si="10"/>
        <v>8930769.2307692301</v>
      </c>
      <c r="L15" s="126"/>
      <c r="M15" s="126">
        <v>11000000</v>
      </c>
      <c r="N15" s="126">
        <f t="shared" si="3"/>
        <v>0</v>
      </c>
      <c r="O15" s="126">
        <f t="shared" si="4"/>
        <v>11000000</v>
      </c>
      <c r="P15" s="126">
        <f t="shared" si="5"/>
        <v>-2069230.7692307699</v>
      </c>
      <c r="Q15" s="151">
        <f t="shared" si="8"/>
        <v>0</v>
      </c>
      <c r="R15" s="127">
        <v>3000000</v>
      </c>
      <c r="S15" s="127">
        <v>500000</v>
      </c>
      <c r="T15" s="127">
        <f t="shared" si="6"/>
        <v>3500000</v>
      </c>
      <c r="U15" s="128">
        <f>K15-T15</f>
        <v>5430769.2307692301</v>
      </c>
      <c r="V15" s="351"/>
    </row>
    <row r="16" spans="1:23" ht="16.5" thickBot="1" x14ac:dyDescent="0.3">
      <c r="A16" s="359" t="s">
        <v>191</v>
      </c>
      <c r="B16" s="360" t="s">
        <v>188</v>
      </c>
      <c r="C16" s="361"/>
      <c r="D16" s="362">
        <v>6800000</v>
      </c>
      <c r="E16" s="362">
        <f t="shared" si="9"/>
        <v>261538.46153846153</v>
      </c>
      <c r="F16" s="363">
        <v>7</v>
      </c>
      <c r="G16" s="362">
        <v>1830769.2307692308</v>
      </c>
      <c r="H16" s="362">
        <v>0</v>
      </c>
      <c r="I16" s="362"/>
      <c r="J16" s="362"/>
      <c r="K16" s="364">
        <f t="shared" si="10"/>
        <v>1830769.2307692308</v>
      </c>
      <c r="L16" s="364"/>
      <c r="M16" s="364">
        <v>11000000</v>
      </c>
      <c r="N16" s="364">
        <f t="shared" si="3"/>
        <v>0</v>
      </c>
      <c r="O16" s="364">
        <f t="shared" si="4"/>
        <v>11000000</v>
      </c>
      <c r="P16" s="364">
        <f t="shared" si="5"/>
        <v>-9169230.7692307699</v>
      </c>
      <c r="Q16" s="365">
        <f t="shared" si="8"/>
        <v>0</v>
      </c>
      <c r="R16" s="366"/>
      <c r="S16" s="366"/>
      <c r="T16" s="366">
        <f t="shared" si="6"/>
        <v>0</v>
      </c>
      <c r="U16" s="367">
        <f t="shared" si="7"/>
        <v>1830769.2307692308</v>
      </c>
      <c r="V16" s="368"/>
    </row>
    <row r="17" spans="1:23" ht="15.75" x14ac:dyDescent="0.25">
      <c r="A17" s="369"/>
      <c r="B17" s="370" t="s">
        <v>349</v>
      </c>
      <c r="C17" s="371"/>
      <c r="D17" s="372">
        <f>SUBTOTAL(9,D8:D16)</f>
        <v>116050000</v>
      </c>
      <c r="E17" s="372"/>
      <c r="F17" s="373"/>
      <c r="G17" s="372">
        <f>SUBTOTAL(9,G8:G16)</f>
        <v>92309615.384615377</v>
      </c>
      <c r="H17" s="372">
        <f t="shared" ref="H17:T17" si="11">SUBTOTAL(9,H8:H16)</f>
        <v>14146153.846153844</v>
      </c>
      <c r="I17" s="372">
        <f t="shared" si="11"/>
        <v>0</v>
      </c>
      <c r="J17" s="372">
        <f t="shared" si="11"/>
        <v>0</v>
      </c>
      <c r="K17" s="372">
        <f t="shared" si="11"/>
        <v>106455769.23076923</v>
      </c>
      <c r="L17" s="372">
        <f t="shared" si="11"/>
        <v>4</v>
      </c>
      <c r="M17" s="372">
        <f t="shared" si="11"/>
        <v>88000000</v>
      </c>
      <c r="N17" s="372">
        <f t="shared" si="11"/>
        <v>17600000</v>
      </c>
      <c r="O17" s="372">
        <f t="shared" si="11"/>
        <v>106494231</v>
      </c>
      <c r="P17" s="372">
        <f t="shared" si="11"/>
        <v>-38461.76923077181</v>
      </c>
      <c r="Q17" s="372">
        <f t="shared" si="11"/>
        <v>1439999.9884615385</v>
      </c>
      <c r="R17" s="372">
        <f t="shared" si="11"/>
        <v>3000000</v>
      </c>
      <c r="S17" s="372">
        <f t="shared" si="11"/>
        <v>500000</v>
      </c>
      <c r="T17" s="372">
        <f t="shared" si="11"/>
        <v>3500000</v>
      </c>
      <c r="U17" s="372">
        <f>SUBTOTAL(9,U8:U16)</f>
        <v>102955769.23076923</v>
      </c>
      <c r="V17" s="374"/>
    </row>
    <row r="18" spans="1:23" ht="16.5" customHeight="1" x14ac:dyDescent="0.25">
      <c r="A18" s="350"/>
      <c r="B18" s="51" t="s">
        <v>350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147">
        <f>'Thuê LD 1'!BN27</f>
        <v>21393000</v>
      </c>
      <c r="V18" s="352" t="s">
        <v>315</v>
      </c>
      <c r="W18" s="322"/>
    </row>
    <row r="19" spans="1:23" ht="15.75" x14ac:dyDescent="0.25">
      <c r="A19" s="350"/>
      <c r="B19" s="51" t="s">
        <v>351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32">
        <f>'Bảng tính lương moi( THUE LD2)'!AV59</f>
        <v>203490939.90384614</v>
      </c>
      <c r="V19" s="353"/>
      <c r="W19" s="322"/>
    </row>
    <row r="20" spans="1:23" ht="15.75" customHeight="1" thickBot="1" x14ac:dyDescent="0.3">
      <c r="A20" s="354"/>
      <c r="B20" s="355" t="s">
        <v>352</v>
      </c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6"/>
      <c r="S20" s="356"/>
      <c r="T20" s="356"/>
      <c r="U20" s="357">
        <f>+SUM(U17:U19)</f>
        <v>327839709.13461536</v>
      </c>
      <c r="V20" s="358"/>
    </row>
    <row r="23" spans="1:23" x14ac:dyDescent="0.25">
      <c r="G23" s="322"/>
      <c r="Q23" s="323"/>
      <c r="R23" s="323"/>
      <c r="S23" s="323"/>
      <c r="T23" s="323"/>
    </row>
    <row r="24" spans="1:23" x14ac:dyDescent="0.25">
      <c r="G24" s="322"/>
      <c r="Q24" s="323"/>
      <c r="R24" s="323"/>
      <c r="S24" s="323"/>
      <c r="T24" s="323"/>
    </row>
    <row r="25" spans="1:23" x14ac:dyDescent="0.25">
      <c r="G25" s="322"/>
      <c r="Q25" s="323"/>
      <c r="R25" s="323"/>
      <c r="S25" s="323"/>
      <c r="T25" s="323"/>
    </row>
    <row r="26" spans="1:23" x14ac:dyDescent="0.25">
      <c r="G26" s="322"/>
    </row>
    <row r="27" spans="1:23" x14ac:dyDescent="0.25">
      <c r="G27" s="322"/>
    </row>
  </sheetData>
  <mergeCells count="22">
    <mergeCell ref="A4:V4"/>
    <mergeCell ref="A5:V5"/>
    <mergeCell ref="A6:A7"/>
    <mergeCell ref="B6:B7"/>
    <mergeCell ref="C6:C7"/>
    <mergeCell ref="D6:D7"/>
    <mergeCell ref="E6:E7"/>
    <mergeCell ref="F6:F7"/>
    <mergeCell ref="G6:G7"/>
    <mergeCell ref="H6:H7"/>
    <mergeCell ref="T6:T7"/>
    <mergeCell ref="V18:V19"/>
    <mergeCell ref="I6:J6"/>
    <mergeCell ref="K6:K7"/>
    <mergeCell ref="Q6:Q7"/>
    <mergeCell ref="U6:U7"/>
    <mergeCell ref="V6:V7"/>
    <mergeCell ref="L6:L7"/>
    <mergeCell ref="M6:N6"/>
    <mergeCell ref="O6:O7"/>
    <mergeCell ref="P6:P7"/>
    <mergeCell ref="R6:S6"/>
  </mergeCells>
  <conditionalFormatting sqref="A13:B13 A14:A16">
    <cfRule type="duplicateValues" dxfId="8" priority="1"/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3035-0ADE-46FC-BD36-03830F1EC5B6}">
  <sheetPr>
    <tabColor theme="4" tint="0.79998168889431442"/>
  </sheetPr>
  <dimension ref="A2:AR70"/>
  <sheetViews>
    <sheetView workbookViewId="0">
      <pane xSplit="4" ySplit="5" topLeftCell="E50" activePane="bottomRight" state="frozen"/>
      <selection pane="topRight" activeCell="E1" sqref="E1"/>
      <selection pane="bottomLeft" activeCell="A6" sqref="A6"/>
      <selection pane="bottomRight" activeCell="L73" sqref="L73"/>
    </sheetView>
  </sheetViews>
  <sheetFormatPr defaultRowHeight="12.75" x14ac:dyDescent="0.2"/>
  <cols>
    <col min="1" max="1" width="6.28515625" style="444" customWidth="1"/>
    <col min="2" max="2" width="12.85546875" style="375" customWidth="1"/>
    <col min="3" max="3" width="11.28515625" style="375" hidden="1" customWidth="1"/>
    <col min="4" max="4" width="32.7109375" style="375" customWidth="1"/>
    <col min="5" max="7" width="13.28515625" style="376" customWidth="1"/>
    <col min="8" max="8" width="13.85546875" style="377" customWidth="1"/>
    <col min="9" max="14" width="13.28515625" style="377" customWidth="1"/>
    <col min="15" max="15" width="31" style="375" hidden="1" customWidth="1"/>
    <col min="16" max="16" width="11.140625" style="376" bestFit="1" customWidth="1"/>
    <col min="17" max="17" width="12" style="376" bestFit="1" customWidth="1"/>
    <col min="18" max="18" width="11.140625" style="376" bestFit="1" customWidth="1"/>
    <col min="19" max="21" width="12" style="376" bestFit="1" customWidth="1"/>
    <col min="22" max="16384" width="9.140625" style="375"/>
  </cols>
  <sheetData>
    <row r="2" spans="1:21" x14ac:dyDescent="0.2">
      <c r="P2" s="378">
        <v>5000000</v>
      </c>
      <c r="Q2" s="378">
        <v>10000000</v>
      </c>
      <c r="R2" s="378">
        <v>8000000</v>
      </c>
      <c r="S2" s="378">
        <v>18000000</v>
      </c>
      <c r="T2" s="378">
        <v>32000000</v>
      </c>
      <c r="U2" s="378">
        <v>52000000</v>
      </c>
    </row>
    <row r="3" spans="1:21" ht="13.5" thickBot="1" x14ac:dyDescent="0.25">
      <c r="P3" s="379">
        <v>0.05</v>
      </c>
      <c r="Q3" s="379">
        <v>0.1</v>
      </c>
      <c r="R3" s="379">
        <v>0.15</v>
      </c>
      <c r="S3" s="379">
        <v>0.2</v>
      </c>
      <c r="T3" s="379">
        <v>0.25</v>
      </c>
      <c r="U3" s="379">
        <v>0.3</v>
      </c>
    </row>
    <row r="4" spans="1:21" s="391" customFormat="1" ht="25.5" customHeight="1" x14ac:dyDescent="0.25">
      <c r="A4" s="380" t="s">
        <v>3</v>
      </c>
      <c r="B4" s="381" t="s">
        <v>98</v>
      </c>
      <c r="C4" s="382"/>
      <c r="D4" s="383" t="s">
        <v>93</v>
      </c>
      <c r="E4" s="384" t="s">
        <v>345</v>
      </c>
      <c r="F4" s="385" t="s">
        <v>346</v>
      </c>
      <c r="G4" s="381" t="s">
        <v>343</v>
      </c>
      <c r="H4" s="386" t="s">
        <v>304</v>
      </c>
      <c r="I4" s="384" t="s">
        <v>307</v>
      </c>
      <c r="J4" s="384"/>
      <c r="K4" s="384"/>
      <c r="L4" s="387" t="s">
        <v>181</v>
      </c>
      <c r="M4" s="387" t="s">
        <v>308</v>
      </c>
      <c r="N4" s="388" t="s">
        <v>341</v>
      </c>
      <c r="O4" s="389" t="s">
        <v>205</v>
      </c>
      <c r="P4" s="390"/>
      <c r="Q4" s="390"/>
      <c r="R4" s="390"/>
      <c r="S4" s="390"/>
      <c r="T4" s="390"/>
      <c r="U4" s="390"/>
    </row>
    <row r="5" spans="1:21" s="404" customFormat="1" ht="27.75" customHeight="1" thickBot="1" x14ac:dyDescent="0.3">
      <c r="A5" s="392"/>
      <c r="B5" s="393"/>
      <c r="C5" s="394"/>
      <c r="D5" s="395"/>
      <c r="E5" s="396"/>
      <c r="F5" s="397"/>
      <c r="G5" s="393"/>
      <c r="H5" s="398"/>
      <c r="I5" s="399" t="s">
        <v>344</v>
      </c>
      <c r="J5" s="400" t="s">
        <v>310</v>
      </c>
      <c r="K5" s="400" t="s">
        <v>311</v>
      </c>
      <c r="L5" s="401"/>
      <c r="M5" s="401"/>
      <c r="N5" s="402"/>
      <c r="O5" s="389"/>
      <c r="P5" s="403"/>
      <c r="Q5" s="403"/>
      <c r="R5" s="403"/>
      <c r="S5" s="403"/>
      <c r="T5" s="403"/>
      <c r="U5" s="403"/>
    </row>
    <row r="6" spans="1:21" s="410" customFormat="1" ht="18" customHeight="1" x14ac:dyDescent="0.25">
      <c r="A6" s="449" t="s">
        <v>354</v>
      </c>
      <c r="B6" s="450"/>
      <c r="C6" s="450"/>
      <c r="D6" s="450"/>
      <c r="E6" s="451">
        <f>SUBTOTAL(9,E7:E15)</f>
        <v>106455769.23076923</v>
      </c>
      <c r="F6" s="451">
        <f t="shared" ref="F6:N6" si="0">SUBTOTAL(9,F7:F15)</f>
        <v>894231</v>
      </c>
      <c r="G6" s="451">
        <f t="shared" si="0"/>
        <v>105561538.23076923</v>
      </c>
      <c r="H6" s="451">
        <f t="shared" si="0"/>
        <v>0</v>
      </c>
      <c r="I6" s="451">
        <f t="shared" si="0"/>
        <v>4</v>
      </c>
      <c r="J6" s="451">
        <f t="shared" si="0"/>
        <v>88000000</v>
      </c>
      <c r="K6" s="451">
        <f t="shared" si="0"/>
        <v>17600000</v>
      </c>
      <c r="L6" s="451">
        <f t="shared" si="0"/>
        <v>105600000</v>
      </c>
      <c r="M6" s="451">
        <f t="shared" si="0"/>
        <v>-38461.76923077181</v>
      </c>
      <c r="N6" s="452">
        <f t="shared" si="0"/>
        <v>1439999.9884615385</v>
      </c>
      <c r="O6" s="408"/>
      <c r="P6" s="409"/>
      <c r="Q6" s="409"/>
      <c r="R6" s="409"/>
      <c r="S6" s="409"/>
      <c r="T6" s="409"/>
      <c r="U6" s="409"/>
    </row>
    <row r="7" spans="1:21" s="410" customFormat="1" ht="18" customHeight="1" x14ac:dyDescent="0.25">
      <c r="A7" s="453">
        <v>1</v>
      </c>
      <c r="B7" s="411"/>
      <c r="C7" s="411"/>
      <c r="D7" s="412" t="s">
        <v>257</v>
      </c>
      <c r="E7" s="413">
        <v>5000000</v>
      </c>
      <c r="F7" s="411"/>
      <c r="G7" s="414">
        <f>E7-F7</f>
        <v>5000000</v>
      </c>
      <c r="H7" s="415"/>
      <c r="I7" s="439">
        <f>'LƯƠNG TỔNG MOI'!L8</f>
        <v>0</v>
      </c>
      <c r="J7" s="440">
        <v>11000000</v>
      </c>
      <c r="K7" s="426">
        <f t="shared" ref="K7:K15" si="1">I7*4400000</f>
        <v>0</v>
      </c>
      <c r="L7" s="439">
        <f>K7+J7+H7</f>
        <v>11000000</v>
      </c>
      <c r="M7" s="416">
        <f>G7-L7</f>
        <v>-6000000</v>
      </c>
      <c r="N7" s="454">
        <f>IF($A7="",0,IF(M7&lt;=0,0,IF(M7&lt;=5000000,M7*$P$3,IF(M7&lt;=10000000,$P$2*$P$3+(M7-$P$2)*$Q$3,IF(M7&lt;18000000,$P$2*$P$3+$P$2*$Q$3+(M7-$Q$2)*$R$3,IF(M7&lt;=32000000,$P$2*$P$3+$P$2*$Q$3+$R$2*$R$3+(M7-$S$2)*$S$3))))))</f>
        <v>0</v>
      </c>
      <c r="O7" s="408"/>
      <c r="P7" s="409"/>
      <c r="Q7" s="409"/>
      <c r="R7" s="409"/>
      <c r="S7" s="409"/>
      <c r="T7" s="409"/>
      <c r="U7" s="409"/>
    </row>
    <row r="8" spans="1:21" s="410" customFormat="1" ht="18" customHeight="1" x14ac:dyDescent="0.25">
      <c r="A8" s="455">
        <v>2</v>
      </c>
      <c r="B8" s="406"/>
      <c r="C8" s="406"/>
      <c r="D8" s="417" t="s">
        <v>183</v>
      </c>
      <c r="E8" s="405">
        <v>20000000</v>
      </c>
      <c r="F8" s="406"/>
      <c r="G8" s="414">
        <f t="shared" ref="G8:G15" si="2">E8-F8</f>
        <v>20000000</v>
      </c>
      <c r="H8" s="407"/>
      <c r="I8" s="439">
        <f>'LƯƠNG TỔNG MOI'!L9</f>
        <v>2</v>
      </c>
      <c r="J8" s="440">
        <v>11000000</v>
      </c>
      <c r="K8" s="426">
        <f t="shared" si="1"/>
        <v>8800000</v>
      </c>
      <c r="L8" s="439">
        <f t="shared" ref="L8:L16" si="3">K8+J8+H8</f>
        <v>19800000</v>
      </c>
      <c r="M8" s="416">
        <f t="shared" ref="M8:M15" si="4">G8-L8</f>
        <v>200000</v>
      </c>
      <c r="N8" s="454">
        <f t="shared" ref="N7:N15" si="5">IF($A8="",0,IF(M8&lt;=0,0,IF(M8&lt;=5000000,M8*$P$3,IF(M8&lt;=10000000,$P$2*$P$3+(M8-$P$2)*$Q$3,IF(M8&lt;18000000,$P$2*$P$3+$P$2*$Q$3+(M8-$Q$2)*$R$3,IF(M8&lt;=32000000,$P$2*$P$3+$P$2*$Q$3+$R$2*$R$3+(M8-$S$2)*$S$3))))))</f>
        <v>10000</v>
      </c>
      <c r="O8" s="408"/>
      <c r="P8" s="409"/>
      <c r="Q8" s="409"/>
      <c r="R8" s="409"/>
      <c r="S8" s="409"/>
      <c r="T8" s="409"/>
      <c r="U8" s="409"/>
    </row>
    <row r="9" spans="1:21" s="410" customFormat="1" ht="18" customHeight="1" x14ac:dyDescent="0.25">
      <c r="A9" s="455">
        <v>3</v>
      </c>
      <c r="B9" s="406"/>
      <c r="C9" s="406"/>
      <c r="D9" s="417" t="s">
        <v>260</v>
      </c>
      <c r="E9" s="405">
        <v>20000000</v>
      </c>
      <c r="F9" s="406"/>
      <c r="G9" s="414">
        <f t="shared" si="2"/>
        <v>20000000</v>
      </c>
      <c r="H9" s="407"/>
      <c r="I9" s="439">
        <f>'LƯƠNG TỔNG MOI'!L10</f>
        <v>2</v>
      </c>
      <c r="J9" s="405"/>
      <c r="K9" s="426">
        <f t="shared" si="1"/>
        <v>8800000</v>
      </c>
      <c r="L9" s="439">
        <f t="shared" si="3"/>
        <v>8800000</v>
      </c>
      <c r="M9" s="416">
        <f t="shared" si="4"/>
        <v>11200000</v>
      </c>
      <c r="N9" s="454">
        <f t="shared" si="5"/>
        <v>930000</v>
      </c>
      <c r="O9" s="408"/>
      <c r="P9" s="409"/>
      <c r="Q9" s="409"/>
      <c r="R9" s="409"/>
      <c r="S9" s="409"/>
      <c r="T9" s="409"/>
      <c r="U9" s="409"/>
    </row>
    <row r="10" spans="1:21" s="410" customFormat="1" ht="18" customHeight="1" x14ac:dyDescent="0.25">
      <c r="A10" s="455">
        <v>4</v>
      </c>
      <c r="B10" s="406"/>
      <c r="C10" s="406"/>
      <c r="D10" s="417" t="s">
        <v>262</v>
      </c>
      <c r="E10" s="405">
        <v>15000000</v>
      </c>
      <c r="F10" s="406"/>
      <c r="G10" s="414">
        <f t="shared" si="2"/>
        <v>15000000</v>
      </c>
      <c r="H10" s="407"/>
      <c r="I10" s="439">
        <f>'LƯƠNG TỔNG MOI'!L11</f>
        <v>0</v>
      </c>
      <c r="J10" s="440">
        <v>11000000</v>
      </c>
      <c r="K10" s="426">
        <f t="shared" si="1"/>
        <v>0</v>
      </c>
      <c r="L10" s="439">
        <f t="shared" si="3"/>
        <v>11000000</v>
      </c>
      <c r="M10" s="416">
        <f t="shared" si="4"/>
        <v>4000000</v>
      </c>
      <c r="N10" s="454">
        <f t="shared" si="5"/>
        <v>200000</v>
      </c>
      <c r="O10" s="408"/>
      <c r="P10" s="409"/>
      <c r="Q10" s="409"/>
      <c r="R10" s="409"/>
      <c r="S10" s="409"/>
      <c r="T10" s="409"/>
      <c r="U10" s="409"/>
    </row>
    <row r="11" spans="1:21" s="410" customFormat="1" ht="18" customHeight="1" x14ac:dyDescent="0.25">
      <c r="A11" s="455">
        <v>5</v>
      </c>
      <c r="B11" s="406"/>
      <c r="C11" s="406"/>
      <c r="D11" s="417" t="s">
        <v>264</v>
      </c>
      <c r="E11" s="405">
        <v>15000000</v>
      </c>
      <c r="F11" s="406"/>
      <c r="G11" s="414">
        <f t="shared" si="2"/>
        <v>15000000</v>
      </c>
      <c r="H11" s="407"/>
      <c r="I11" s="439">
        <f>'LƯƠNG TỔNG MOI'!L12</f>
        <v>0</v>
      </c>
      <c r="J11" s="440">
        <v>11000000</v>
      </c>
      <c r="K11" s="426">
        <f t="shared" si="1"/>
        <v>0</v>
      </c>
      <c r="L11" s="439">
        <f t="shared" si="3"/>
        <v>11000000</v>
      </c>
      <c r="M11" s="416">
        <f t="shared" si="4"/>
        <v>4000000</v>
      </c>
      <c r="N11" s="454">
        <f t="shared" si="5"/>
        <v>200000</v>
      </c>
      <c r="O11" s="408"/>
      <c r="P11" s="409"/>
      <c r="Q11" s="409"/>
      <c r="R11" s="409"/>
      <c r="S11" s="409"/>
      <c r="T11" s="409"/>
      <c r="U11" s="409"/>
    </row>
    <row r="12" spans="1:21" s="410" customFormat="1" ht="18" customHeight="1" x14ac:dyDescent="0.25">
      <c r="A12" s="455">
        <v>6</v>
      </c>
      <c r="B12" s="406"/>
      <c r="C12" s="406"/>
      <c r="D12" s="418" t="s">
        <v>24</v>
      </c>
      <c r="E12" s="405">
        <v>13894230.769230768</v>
      </c>
      <c r="F12" s="419">
        <v>894231</v>
      </c>
      <c r="G12" s="414">
        <f t="shared" si="2"/>
        <v>12999999.769230768</v>
      </c>
      <c r="H12" s="407"/>
      <c r="I12" s="439">
        <f>'LƯƠNG TỔNG MOI'!L13</f>
        <v>0</v>
      </c>
      <c r="J12" s="440">
        <v>11000000</v>
      </c>
      <c r="K12" s="426">
        <f t="shared" si="1"/>
        <v>0</v>
      </c>
      <c r="L12" s="439">
        <f t="shared" si="3"/>
        <v>11000000</v>
      </c>
      <c r="M12" s="416">
        <f t="shared" si="4"/>
        <v>1999999.7692307681</v>
      </c>
      <c r="N12" s="454">
        <f t="shared" si="5"/>
        <v>99999.988461538407</v>
      </c>
      <c r="O12" s="408"/>
      <c r="P12" s="409"/>
      <c r="Q12" s="409"/>
      <c r="R12" s="409"/>
      <c r="S12" s="409"/>
      <c r="T12" s="409"/>
      <c r="U12" s="409"/>
    </row>
    <row r="13" spans="1:21" s="410" customFormat="1" ht="18" customHeight="1" x14ac:dyDescent="0.25">
      <c r="A13" s="455">
        <v>7</v>
      </c>
      <c r="B13" s="406"/>
      <c r="C13" s="406"/>
      <c r="D13" s="420" t="s">
        <v>186</v>
      </c>
      <c r="E13" s="405">
        <v>6800000</v>
      </c>
      <c r="F13" s="406"/>
      <c r="G13" s="414">
        <f t="shared" si="2"/>
        <v>6800000</v>
      </c>
      <c r="H13" s="407"/>
      <c r="I13" s="439">
        <f>'LƯƠNG TỔNG MOI'!L14</f>
        <v>0</v>
      </c>
      <c r="J13" s="440">
        <v>11000000</v>
      </c>
      <c r="K13" s="426">
        <f t="shared" si="1"/>
        <v>0</v>
      </c>
      <c r="L13" s="439">
        <f t="shared" si="3"/>
        <v>11000000</v>
      </c>
      <c r="M13" s="416">
        <f t="shared" si="4"/>
        <v>-4200000</v>
      </c>
      <c r="N13" s="454">
        <f t="shared" si="5"/>
        <v>0</v>
      </c>
      <c r="O13" s="408"/>
      <c r="P13" s="409"/>
      <c r="Q13" s="409"/>
      <c r="R13" s="409"/>
      <c r="S13" s="409"/>
      <c r="T13" s="409"/>
      <c r="U13" s="409"/>
    </row>
    <row r="14" spans="1:21" s="410" customFormat="1" ht="18" customHeight="1" x14ac:dyDescent="0.25">
      <c r="A14" s="455">
        <v>8</v>
      </c>
      <c r="B14" s="406"/>
      <c r="C14" s="406"/>
      <c r="D14" s="420" t="s">
        <v>187</v>
      </c>
      <c r="E14" s="405">
        <v>8930769.2307692301</v>
      </c>
      <c r="F14" s="406"/>
      <c r="G14" s="414">
        <f t="shared" si="2"/>
        <v>8930769.2307692301</v>
      </c>
      <c r="H14" s="407"/>
      <c r="I14" s="439">
        <f>'LƯƠNG TỔNG MOI'!L15</f>
        <v>0</v>
      </c>
      <c r="J14" s="440">
        <v>11000000</v>
      </c>
      <c r="K14" s="426">
        <f t="shared" si="1"/>
        <v>0</v>
      </c>
      <c r="L14" s="439">
        <f t="shared" si="3"/>
        <v>11000000</v>
      </c>
      <c r="M14" s="416">
        <f t="shared" si="4"/>
        <v>-2069230.7692307699</v>
      </c>
      <c r="N14" s="454">
        <f t="shared" si="5"/>
        <v>0</v>
      </c>
      <c r="O14" s="408"/>
      <c r="P14" s="409"/>
      <c r="Q14" s="409"/>
      <c r="R14" s="409"/>
      <c r="S14" s="409"/>
      <c r="T14" s="409"/>
      <c r="U14" s="409"/>
    </row>
    <row r="15" spans="1:21" s="410" customFormat="1" ht="18" customHeight="1" x14ac:dyDescent="0.25">
      <c r="A15" s="455">
        <v>8</v>
      </c>
      <c r="B15" s="406"/>
      <c r="C15" s="406"/>
      <c r="D15" s="421" t="s">
        <v>188</v>
      </c>
      <c r="E15" s="405">
        <v>1830769.2307692308</v>
      </c>
      <c r="F15" s="406"/>
      <c r="G15" s="414">
        <f t="shared" si="2"/>
        <v>1830769.2307692308</v>
      </c>
      <c r="H15" s="407"/>
      <c r="I15" s="439">
        <f>'LƯƠNG TỔNG MOI'!L16</f>
        <v>0</v>
      </c>
      <c r="J15" s="440">
        <v>11000000</v>
      </c>
      <c r="K15" s="426">
        <f t="shared" si="1"/>
        <v>0</v>
      </c>
      <c r="L15" s="439">
        <f t="shared" si="3"/>
        <v>11000000</v>
      </c>
      <c r="M15" s="416">
        <f t="shared" si="4"/>
        <v>-9169230.7692307699</v>
      </c>
      <c r="N15" s="454">
        <f t="shared" si="5"/>
        <v>0</v>
      </c>
      <c r="O15" s="408"/>
      <c r="P15" s="409"/>
      <c r="Q15" s="409"/>
      <c r="R15" s="409"/>
      <c r="S15" s="409"/>
      <c r="T15" s="409"/>
      <c r="U15" s="409"/>
    </row>
    <row r="16" spans="1:21" s="410" customFormat="1" ht="18" customHeight="1" x14ac:dyDescent="0.25">
      <c r="A16" s="456" t="s">
        <v>353</v>
      </c>
      <c r="B16" s="422"/>
      <c r="C16" s="422"/>
      <c r="D16" s="423"/>
      <c r="E16" s="405">
        <f>SUBTOTAL(9,E17:E69)</f>
        <v>209158247.59615383</v>
      </c>
      <c r="F16" s="405">
        <f t="shared" ref="F16:N16" si="6">SUBTOTAL(9,F17:F69)</f>
        <v>27814893.028846148</v>
      </c>
      <c r="G16" s="405">
        <f t="shared" si="6"/>
        <v>181343354.56730774</v>
      </c>
      <c r="H16" s="405">
        <f t="shared" si="6"/>
        <v>0</v>
      </c>
      <c r="I16" s="405">
        <f t="shared" si="6"/>
        <v>0</v>
      </c>
      <c r="J16" s="405">
        <f t="shared" si="6"/>
        <v>583000000</v>
      </c>
      <c r="K16" s="405">
        <f t="shared" si="6"/>
        <v>0</v>
      </c>
      <c r="L16" s="405">
        <f t="shared" si="6"/>
        <v>583000000</v>
      </c>
      <c r="M16" s="405">
        <f t="shared" si="6"/>
        <v>-401656645.43269235</v>
      </c>
      <c r="N16" s="457">
        <f t="shared" si="6"/>
        <v>0</v>
      </c>
      <c r="O16" s="408"/>
      <c r="P16" s="409"/>
      <c r="Q16" s="409"/>
      <c r="R16" s="409"/>
      <c r="S16" s="409"/>
      <c r="T16" s="409"/>
      <c r="U16" s="409"/>
    </row>
    <row r="17" spans="1:21" s="404" customFormat="1" ht="18" customHeight="1" x14ac:dyDescent="0.25">
      <c r="A17" s="441">
        <v>1</v>
      </c>
      <c r="B17" s="412" t="s">
        <v>99</v>
      </c>
      <c r="C17" s="412"/>
      <c r="D17" s="412" t="s">
        <v>39</v>
      </c>
      <c r="E17" s="424">
        <v>11649639.423076922</v>
      </c>
      <c r="F17" s="425">
        <f>'Bảng tính lương moi( THUE LD2)'!W6/2</f>
        <v>1622896.6346153845</v>
      </c>
      <c r="G17" s="424">
        <f>E17-F17</f>
        <v>10026742.788461538</v>
      </c>
      <c r="H17" s="426"/>
      <c r="I17" s="426"/>
      <c r="J17" s="427">
        <v>11000000</v>
      </c>
      <c r="K17" s="426">
        <f>I17*4400000</f>
        <v>0</v>
      </c>
      <c r="L17" s="427">
        <f>K17+J17+H17</f>
        <v>11000000</v>
      </c>
      <c r="M17" s="427">
        <f>G17-L17</f>
        <v>-973257.21153846197</v>
      </c>
      <c r="N17" s="454">
        <f>IF($A17="",0,IF(M17&lt;=0,0,IF(M17&lt;=5000000,M17*$P$3,IF(M17&lt;=10000000,$P$2*$P$3+(M17-$P$2)*$Q$3,IF(M17&lt;18000000,$P$2*$P$3+$P$2*$Q$3+(M17-$Q$2)*$R$3,IF(M17&lt;=32000000,$P$2*$P$3+$P$2*$Q$3+$R$2*$R$3+(M17-$S$2)*$S$3))))))</f>
        <v>0</v>
      </c>
      <c r="P17" s="403"/>
      <c r="Q17" s="403"/>
      <c r="R17" s="403"/>
      <c r="S17" s="403"/>
      <c r="T17" s="403"/>
      <c r="U17" s="403"/>
    </row>
    <row r="18" spans="1:21" s="404" customFormat="1" ht="18" customHeight="1" x14ac:dyDescent="0.25">
      <c r="A18" s="442">
        <v>2</v>
      </c>
      <c r="B18" s="417" t="s">
        <v>100</v>
      </c>
      <c r="C18" s="417"/>
      <c r="D18" s="417" t="s">
        <v>40</v>
      </c>
      <c r="E18" s="428">
        <v>9899278.846153846</v>
      </c>
      <c r="F18" s="425">
        <f>'Bảng tính lương moi( THUE LD2)'!W7/2</f>
        <v>1257331.7307692308</v>
      </c>
      <c r="G18" s="424">
        <f t="shared" ref="G18:G69" si="7">E18-F18</f>
        <v>8641947.115384616</v>
      </c>
      <c r="H18" s="429"/>
      <c r="I18" s="429"/>
      <c r="J18" s="427">
        <v>11000000</v>
      </c>
      <c r="K18" s="426">
        <f t="shared" ref="K18:K69" si="8">I18*4400000</f>
        <v>0</v>
      </c>
      <c r="L18" s="427">
        <f>K18+J18+H18</f>
        <v>11000000</v>
      </c>
      <c r="M18" s="427">
        <f t="shared" ref="M18:M69" si="9">G18-L18</f>
        <v>-2358052.884615384</v>
      </c>
      <c r="N18" s="458">
        <f>IF($A18="",0,IF(M18&lt;=0,0,IF(M18&lt;=5000000,M18*$P$3,IF(M18&lt;=10000000,$P$2*$P$3+(M18-$P$2)*$Q$3,IF(M18&lt;18000000,$P$2*$P$3+$P$2*$Q$3+(M18-$Q$2)*$R$3,IF(M18&lt;=32000000,$P$2*$P$3+$P$2*$Q$3+$R$2*$R$3+(M18-$S$2)*$S$3))))))</f>
        <v>0</v>
      </c>
      <c r="O18" s="404" t="s">
        <v>206</v>
      </c>
      <c r="P18" s="403"/>
      <c r="Q18" s="403"/>
      <c r="R18" s="403"/>
      <c r="S18" s="403"/>
      <c r="T18" s="403"/>
      <c r="U18" s="403"/>
    </row>
    <row r="19" spans="1:21" s="404" customFormat="1" ht="18" customHeight="1" x14ac:dyDescent="0.25">
      <c r="A19" s="442">
        <v>3</v>
      </c>
      <c r="B19" s="417" t="s">
        <v>101</v>
      </c>
      <c r="C19" s="417"/>
      <c r="D19" s="417" t="s">
        <v>41</v>
      </c>
      <c r="E19" s="428">
        <v>9554206.7307692319</v>
      </c>
      <c r="F19" s="425">
        <f>'Bảng tính lương moi( THUE LD2)'!W8/2</f>
        <v>1084795.673076923</v>
      </c>
      <c r="G19" s="424">
        <f t="shared" si="7"/>
        <v>8469411.057692308</v>
      </c>
      <c r="H19" s="429"/>
      <c r="I19" s="429"/>
      <c r="J19" s="427">
        <v>11000000</v>
      </c>
      <c r="K19" s="426">
        <f t="shared" si="8"/>
        <v>0</v>
      </c>
      <c r="L19" s="427">
        <f>K19+J19+H19</f>
        <v>11000000</v>
      </c>
      <c r="M19" s="427">
        <f t="shared" si="9"/>
        <v>-2530588.942307692</v>
      </c>
      <c r="N19" s="458">
        <f>IF($A19="",0,IF(M19&lt;=0,0,IF(M19&lt;=5000000,M19*$P$3,IF(M19&lt;=10000000,$P$2*$P$3+(M19-$P$2)*$Q$3,IF(M19&lt;18000000,$P$2*$P$3+$P$2*$Q$3+(M19-$Q$2)*$R$3,IF(M19&lt;=32000000,$P$2*$P$3+$P$2*$Q$3+$R$2*$R$3+(M19-$S$2)*$S$3))))))</f>
        <v>0</v>
      </c>
      <c r="O19" s="404" t="s">
        <v>209</v>
      </c>
      <c r="P19" s="403"/>
      <c r="Q19" s="403"/>
      <c r="R19" s="403"/>
      <c r="S19" s="403"/>
      <c r="T19" s="403"/>
      <c r="U19" s="403"/>
    </row>
    <row r="20" spans="1:21" s="404" customFormat="1" ht="18" customHeight="1" x14ac:dyDescent="0.25">
      <c r="A20" s="442">
        <v>4</v>
      </c>
      <c r="B20" s="417" t="s">
        <v>102</v>
      </c>
      <c r="C20" s="417"/>
      <c r="D20" s="417" t="s">
        <v>42</v>
      </c>
      <c r="E20" s="428">
        <v>5348557.692307692</v>
      </c>
      <c r="F20" s="425">
        <f>'Bảng tính lương moi( THUE LD2)'!W9/2</f>
        <v>885817.30769230763</v>
      </c>
      <c r="G20" s="424">
        <f t="shared" si="7"/>
        <v>4462740.384615384</v>
      </c>
      <c r="H20" s="429"/>
      <c r="I20" s="429"/>
      <c r="J20" s="427">
        <v>11000000</v>
      </c>
      <c r="K20" s="426">
        <f t="shared" si="8"/>
        <v>0</v>
      </c>
      <c r="L20" s="427">
        <f>K20+J20+H20</f>
        <v>11000000</v>
      </c>
      <c r="M20" s="427">
        <f t="shared" si="9"/>
        <v>-6537259.615384616</v>
      </c>
      <c r="N20" s="458">
        <f>IF($A20="",0,IF(M20&lt;=0,0,IF(M20&lt;=5000000,M20*$P$3,IF(M20&lt;=10000000,$P$2*$P$3+(M20-$P$2)*$Q$3,IF(M20&lt;18000000,$P$2*$P$3+$P$2*$Q$3+(M20-$Q$2)*$R$3,IF(M20&lt;=32000000,$P$2*$P$3+$P$2*$Q$3+$R$2*$R$3+(M20-$S$2)*$S$3))))))</f>
        <v>0</v>
      </c>
      <c r="O20" s="430" t="s">
        <v>210</v>
      </c>
      <c r="P20" s="403"/>
      <c r="Q20" s="403"/>
      <c r="R20" s="403"/>
      <c r="S20" s="403"/>
      <c r="T20" s="403"/>
      <c r="U20" s="403"/>
    </row>
    <row r="21" spans="1:21" s="430" customFormat="1" ht="18" customHeight="1" x14ac:dyDescent="0.25">
      <c r="A21" s="443">
        <v>5</v>
      </c>
      <c r="B21" s="431" t="s">
        <v>103</v>
      </c>
      <c r="C21" s="431"/>
      <c r="D21" s="431" t="s">
        <v>43</v>
      </c>
      <c r="E21" s="428">
        <v>545552.88461538462</v>
      </c>
      <c r="F21" s="425">
        <f>'Bảng tính lương moi( THUE LD2)'!W10/2</f>
        <v>16045.673076923078</v>
      </c>
      <c r="G21" s="424">
        <f t="shared" si="7"/>
        <v>529507.2115384615</v>
      </c>
      <c r="H21" s="429"/>
      <c r="I21" s="429"/>
      <c r="J21" s="427">
        <v>11000000</v>
      </c>
      <c r="K21" s="426">
        <f t="shared" si="8"/>
        <v>0</v>
      </c>
      <c r="L21" s="427">
        <f>K21+J21+H21</f>
        <v>11000000</v>
      </c>
      <c r="M21" s="427">
        <f t="shared" si="9"/>
        <v>-10470492.788461538</v>
      </c>
      <c r="N21" s="458">
        <f>IF($A21="",0,IF(M21&lt;=0,0,IF(M21&lt;=5000000,M21*$P$3,IF(M21&lt;=10000000,$P$2*$P$3+(M21-$P$2)*$Q$3,IF(M21&lt;18000000,$P$2*$P$3+$P$2*$Q$3+(M21-$Q$2)*$R$3,IF(M21&lt;=32000000,$P$2*$P$3+$P$2*$Q$3+$R$2*$R$3+(M21-$S$2)*$S$3))))))</f>
        <v>0</v>
      </c>
      <c r="O21" s="430" t="s">
        <v>217</v>
      </c>
      <c r="P21" s="432"/>
      <c r="Q21" s="432"/>
      <c r="R21" s="432"/>
      <c r="S21" s="432"/>
      <c r="T21" s="432"/>
      <c r="U21" s="432"/>
    </row>
    <row r="22" spans="1:21" s="430" customFormat="1" ht="18" customHeight="1" x14ac:dyDescent="0.25">
      <c r="A22" s="443">
        <v>6</v>
      </c>
      <c r="B22" s="431" t="s">
        <v>104</v>
      </c>
      <c r="C22" s="431"/>
      <c r="D22" s="431" t="s">
        <v>44</v>
      </c>
      <c r="E22" s="428">
        <v>545552.88461538462</v>
      </c>
      <c r="F22" s="425">
        <f>'Bảng tính lương moi( THUE LD2)'!W11/2</f>
        <v>16045.673076923078</v>
      </c>
      <c r="G22" s="424">
        <f t="shared" si="7"/>
        <v>529507.2115384615</v>
      </c>
      <c r="H22" s="429"/>
      <c r="I22" s="429"/>
      <c r="J22" s="427">
        <v>11000000</v>
      </c>
      <c r="K22" s="426">
        <f t="shared" si="8"/>
        <v>0</v>
      </c>
      <c r="L22" s="427">
        <f>K22+J22+H22</f>
        <v>11000000</v>
      </c>
      <c r="M22" s="427">
        <f t="shared" si="9"/>
        <v>-10470492.788461538</v>
      </c>
      <c r="N22" s="458">
        <f>IF($A22="",0,IF(M22&lt;=0,0,IF(M22&lt;=5000000,M22*$P$3,IF(M22&lt;=10000000,$P$2*$P$3+(M22-$P$2)*$Q$3,IF(M22&lt;18000000,$P$2*$P$3+$P$2*$Q$3+(M22-$Q$2)*$R$3,IF(M22&lt;=32000000,$P$2*$P$3+$P$2*$Q$3+$R$2*$R$3+(M22-$S$2)*$S$3))))))</f>
        <v>0</v>
      </c>
      <c r="O22" s="430" t="s">
        <v>217</v>
      </c>
      <c r="P22" s="432"/>
      <c r="Q22" s="432"/>
      <c r="R22" s="432"/>
      <c r="S22" s="432"/>
      <c r="T22" s="432"/>
      <c r="U22" s="432"/>
    </row>
    <row r="23" spans="1:21" s="404" customFormat="1" ht="18" customHeight="1" x14ac:dyDescent="0.25">
      <c r="A23" s="442">
        <v>7</v>
      </c>
      <c r="B23" s="417" t="s">
        <v>105</v>
      </c>
      <c r="C23" s="417"/>
      <c r="D23" s="417" t="s">
        <v>45</v>
      </c>
      <c r="E23" s="428">
        <v>4672656.25</v>
      </c>
      <c r="F23" s="425">
        <f>'Bảng tính lương moi( THUE LD2)'!W12/2</f>
        <v>259405.04807692309</v>
      </c>
      <c r="G23" s="424">
        <f t="shared" si="7"/>
        <v>4413251.201923077</v>
      </c>
      <c r="H23" s="429"/>
      <c r="I23" s="429"/>
      <c r="J23" s="427">
        <v>11000000</v>
      </c>
      <c r="K23" s="426">
        <f t="shared" si="8"/>
        <v>0</v>
      </c>
      <c r="L23" s="427">
        <f>K23+J23+H23</f>
        <v>11000000</v>
      </c>
      <c r="M23" s="427">
        <f t="shared" si="9"/>
        <v>-6586748.798076923</v>
      </c>
      <c r="N23" s="458">
        <f>IF($A23="",0,IF(M23&lt;=0,0,IF(M23&lt;=5000000,M23*$P$3,IF(M23&lt;=10000000,$P$2*$P$3+(M23-$P$2)*$Q$3,IF(M23&lt;18000000,$P$2*$P$3+$P$2*$Q$3+(M23-$Q$2)*$R$3,IF(M23&lt;=32000000,$P$2*$P$3+$P$2*$Q$3+$R$2*$R$3+(M23-$S$2)*$S$3))))))</f>
        <v>0</v>
      </c>
      <c r="O23" s="404" t="s">
        <v>212</v>
      </c>
      <c r="P23" s="403"/>
      <c r="Q23" s="403"/>
      <c r="R23" s="403"/>
      <c r="S23" s="403"/>
      <c r="T23" s="403"/>
      <c r="U23" s="403"/>
    </row>
    <row r="24" spans="1:21" s="404" customFormat="1" ht="18" customHeight="1" x14ac:dyDescent="0.25">
      <c r="A24" s="442">
        <v>8</v>
      </c>
      <c r="B24" s="417" t="s">
        <v>106</v>
      </c>
      <c r="C24" s="417"/>
      <c r="D24" s="417" t="s">
        <v>46</v>
      </c>
      <c r="E24" s="428">
        <v>7285817.307692308</v>
      </c>
      <c r="F24" s="425">
        <f>'Bảng tính lương moi( THUE LD2)'!W13/2</f>
        <v>1251562.5</v>
      </c>
      <c r="G24" s="424">
        <f t="shared" si="7"/>
        <v>6034254.807692308</v>
      </c>
      <c r="H24" s="429"/>
      <c r="I24" s="429"/>
      <c r="J24" s="427">
        <v>11000000</v>
      </c>
      <c r="K24" s="426">
        <f t="shared" si="8"/>
        <v>0</v>
      </c>
      <c r="L24" s="427">
        <f>K24+J24+H24</f>
        <v>11000000</v>
      </c>
      <c r="M24" s="427">
        <f t="shared" si="9"/>
        <v>-4965745.192307692</v>
      </c>
      <c r="N24" s="458">
        <f>IF($A24="",0,IF(M24&lt;=0,0,IF(M24&lt;=5000000,M24*$P$3,IF(M24&lt;=10000000,$P$2*$P$3+(M24-$P$2)*$Q$3,IF(M24&lt;18000000,$P$2*$P$3+$P$2*$Q$3+(M24-$Q$2)*$R$3,IF(M24&lt;=32000000,$P$2*$P$3+$P$2*$Q$3+$R$2*$R$3+(M24-$S$2)*$S$3))))))</f>
        <v>0</v>
      </c>
      <c r="O24" s="404" t="s">
        <v>211</v>
      </c>
      <c r="P24" s="403"/>
      <c r="Q24" s="403"/>
      <c r="R24" s="403"/>
      <c r="S24" s="403"/>
      <c r="T24" s="403"/>
      <c r="U24" s="403"/>
    </row>
    <row r="25" spans="1:21" s="404" customFormat="1" ht="18" customHeight="1" x14ac:dyDescent="0.25">
      <c r="A25" s="442">
        <v>9</v>
      </c>
      <c r="B25" s="417" t="s">
        <v>107</v>
      </c>
      <c r="C25" s="417"/>
      <c r="D25" s="417" t="s">
        <v>47</v>
      </c>
      <c r="E25" s="428">
        <v>7904891.8269230761</v>
      </c>
      <c r="F25" s="425">
        <f>'Bảng tính lương moi( THUE LD2)'!W14/2</f>
        <v>1445715.1442307692</v>
      </c>
      <c r="G25" s="424">
        <f t="shared" si="7"/>
        <v>6459176.682692307</v>
      </c>
      <c r="H25" s="429"/>
      <c r="I25" s="429"/>
      <c r="J25" s="427">
        <v>11000000</v>
      </c>
      <c r="K25" s="426">
        <f t="shared" si="8"/>
        <v>0</v>
      </c>
      <c r="L25" s="427">
        <f>K25+J25+H25</f>
        <v>11000000</v>
      </c>
      <c r="M25" s="427">
        <f t="shared" si="9"/>
        <v>-4540823.317307693</v>
      </c>
      <c r="N25" s="458">
        <f>IF($A25="",0,IF(M25&lt;=0,0,IF(M25&lt;=5000000,M25*$P$3,IF(M25&lt;=10000000,$P$2*$P$3+(M25-$P$2)*$Q$3,IF(M25&lt;18000000,$P$2*$P$3+$P$2*$Q$3+(M25-$Q$2)*$R$3,IF(M25&lt;=32000000,$P$2*$P$3+$P$2*$Q$3+$R$2*$R$3+(M25-$S$2)*$S$3))))))</f>
        <v>0</v>
      </c>
      <c r="O25" s="404" t="s">
        <v>216</v>
      </c>
      <c r="P25" s="403"/>
      <c r="Q25" s="403"/>
      <c r="R25" s="403"/>
      <c r="S25" s="403"/>
      <c r="T25" s="403"/>
      <c r="U25" s="403"/>
    </row>
    <row r="26" spans="1:21" s="404" customFormat="1" ht="18" customHeight="1" x14ac:dyDescent="0.25">
      <c r="A26" s="442">
        <v>10</v>
      </c>
      <c r="B26" s="417" t="s">
        <v>108</v>
      </c>
      <c r="C26" s="417"/>
      <c r="D26" s="417" t="s">
        <v>48</v>
      </c>
      <c r="E26" s="428">
        <v>8759927.884615384</v>
      </c>
      <c r="F26" s="425">
        <f>'Bảng tính lương moi( THUE LD2)'!W15/2</f>
        <v>1665540.8653846153</v>
      </c>
      <c r="G26" s="424">
        <f t="shared" si="7"/>
        <v>7094387.019230769</v>
      </c>
      <c r="H26" s="429"/>
      <c r="I26" s="429"/>
      <c r="J26" s="427">
        <v>11000000</v>
      </c>
      <c r="K26" s="426">
        <f t="shared" si="8"/>
        <v>0</v>
      </c>
      <c r="L26" s="427">
        <f>K26+J26+H26</f>
        <v>11000000</v>
      </c>
      <c r="M26" s="427">
        <f t="shared" si="9"/>
        <v>-3905612.980769231</v>
      </c>
      <c r="N26" s="458">
        <f>IF($A26="",0,IF(M26&lt;=0,0,IF(M26&lt;=5000000,M26*$P$3,IF(M26&lt;=10000000,$P$2*$P$3+(M26-$P$2)*$Q$3,IF(M26&lt;18000000,$P$2*$P$3+$P$2*$Q$3+(M26-$Q$2)*$R$3,IF(M26&lt;=32000000,$P$2*$P$3+$P$2*$Q$3+$R$2*$R$3+(M26-$S$2)*$S$3))))))</f>
        <v>0</v>
      </c>
      <c r="O26" s="404" t="s">
        <v>234</v>
      </c>
      <c r="P26" s="403"/>
      <c r="Q26" s="403"/>
      <c r="R26" s="403"/>
      <c r="S26" s="403"/>
      <c r="T26" s="403"/>
      <c r="U26" s="403"/>
    </row>
    <row r="27" spans="1:21" s="404" customFormat="1" ht="18" customHeight="1" x14ac:dyDescent="0.25">
      <c r="A27" s="442">
        <v>11</v>
      </c>
      <c r="B27" s="417" t="s">
        <v>109</v>
      </c>
      <c r="C27" s="417"/>
      <c r="D27" s="417" t="s">
        <v>49</v>
      </c>
      <c r="E27" s="428">
        <v>7414819.7115384601</v>
      </c>
      <c r="F27" s="425">
        <f>'Bảng tính lương moi( THUE LD2)'!W16/2</f>
        <v>1142986.7788461538</v>
      </c>
      <c r="G27" s="424">
        <f t="shared" si="7"/>
        <v>6271832.9326923061</v>
      </c>
      <c r="H27" s="429"/>
      <c r="I27" s="429"/>
      <c r="J27" s="427">
        <v>11000000</v>
      </c>
      <c r="K27" s="426">
        <f t="shared" si="8"/>
        <v>0</v>
      </c>
      <c r="L27" s="427">
        <f>K27+J27+H27</f>
        <v>11000000</v>
      </c>
      <c r="M27" s="427">
        <f t="shared" si="9"/>
        <v>-4728167.0673076939</v>
      </c>
      <c r="N27" s="458">
        <f>IF($A27="",0,IF(M27&lt;=0,0,IF(M27&lt;=5000000,M27*$P$3,IF(M27&lt;=10000000,$P$2*$P$3+(M27-$P$2)*$Q$3,IF(M27&lt;18000000,$P$2*$P$3+$P$2*$Q$3+(M27-$Q$2)*$R$3,IF(M27&lt;=32000000,$P$2*$P$3+$P$2*$Q$3+$R$2*$R$3+(M27-$S$2)*$S$3))))))</f>
        <v>0</v>
      </c>
      <c r="O27" s="404" t="s">
        <v>237</v>
      </c>
      <c r="P27" s="403"/>
      <c r="Q27" s="403"/>
      <c r="R27" s="403"/>
      <c r="S27" s="403"/>
      <c r="T27" s="403"/>
      <c r="U27" s="403"/>
    </row>
    <row r="28" spans="1:21" s="404" customFormat="1" ht="18" customHeight="1" x14ac:dyDescent="0.25">
      <c r="A28" s="442">
        <v>12</v>
      </c>
      <c r="B28" s="417" t="s">
        <v>110</v>
      </c>
      <c r="C28" s="417"/>
      <c r="D28" s="417" t="s">
        <v>50</v>
      </c>
      <c r="E28" s="428">
        <v>8114242.788461539</v>
      </c>
      <c r="F28" s="425">
        <f>'Bảng tính lương moi( THUE LD2)'!W17/2</f>
        <v>1425390.625</v>
      </c>
      <c r="G28" s="424">
        <f t="shared" si="7"/>
        <v>6688852.163461539</v>
      </c>
      <c r="H28" s="429"/>
      <c r="I28" s="429"/>
      <c r="J28" s="427">
        <v>11000000</v>
      </c>
      <c r="K28" s="426">
        <f t="shared" si="8"/>
        <v>0</v>
      </c>
      <c r="L28" s="427">
        <f>K28+J28+H28</f>
        <v>11000000</v>
      </c>
      <c r="M28" s="427">
        <f t="shared" si="9"/>
        <v>-4311147.836538461</v>
      </c>
      <c r="N28" s="458">
        <f>IF($A28="",0,IF(M28&lt;=0,0,IF(M28&lt;=5000000,M28*$P$3,IF(M28&lt;=10000000,$P$2*$P$3+(M28-$P$2)*$Q$3,IF(M28&lt;18000000,$P$2*$P$3+$P$2*$Q$3+(M28-$Q$2)*$R$3,IF(M28&lt;=32000000,$P$2*$P$3+$P$2*$Q$3+$R$2*$R$3+(M28-$S$2)*$S$3))))))</f>
        <v>0</v>
      </c>
      <c r="P28" s="403"/>
      <c r="Q28" s="403"/>
      <c r="R28" s="403"/>
      <c r="S28" s="403"/>
      <c r="T28" s="403"/>
      <c r="U28" s="403"/>
    </row>
    <row r="29" spans="1:21" s="404" customFormat="1" ht="18" customHeight="1" x14ac:dyDescent="0.25">
      <c r="A29" s="442">
        <v>13</v>
      </c>
      <c r="B29" s="417" t="s">
        <v>111</v>
      </c>
      <c r="C29" s="417"/>
      <c r="D29" s="417" t="s">
        <v>51</v>
      </c>
      <c r="E29" s="428">
        <v>6568185.096153846</v>
      </c>
      <c r="F29" s="425">
        <f>'Bảng tính lương moi( THUE LD2)'!W18/2</f>
        <v>1207169.471153846</v>
      </c>
      <c r="G29" s="424">
        <f t="shared" si="7"/>
        <v>5361015.625</v>
      </c>
      <c r="H29" s="429"/>
      <c r="I29" s="429"/>
      <c r="J29" s="427">
        <v>11000000</v>
      </c>
      <c r="K29" s="426">
        <f t="shared" si="8"/>
        <v>0</v>
      </c>
      <c r="L29" s="427">
        <f>K29+J29+H29</f>
        <v>11000000</v>
      </c>
      <c r="M29" s="427">
        <f t="shared" si="9"/>
        <v>-5638984.375</v>
      </c>
      <c r="N29" s="458">
        <f>IF($A29="",0,IF(M29&lt;=0,0,IF(M29&lt;=5000000,M29*$P$3,IF(M29&lt;=10000000,$P$2*$P$3+(M29-$P$2)*$Q$3,IF(M29&lt;18000000,$P$2*$P$3+$P$2*$Q$3+(M29-$Q$2)*$R$3,IF(M29&lt;=32000000,$P$2*$P$3+$P$2*$Q$3+$R$2*$R$3+(M29-$S$2)*$S$3))))))</f>
        <v>0</v>
      </c>
      <c r="O29" s="404" t="s">
        <v>215</v>
      </c>
      <c r="P29" s="403"/>
      <c r="Q29" s="403"/>
      <c r="R29" s="403"/>
      <c r="S29" s="403"/>
      <c r="T29" s="403"/>
      <c r="U29" s="403"/>
    </row>
    <row r="30" spans="1:21" s="404" customFormat="1" ht="18" customHeight="1" x14ac:dyDescent="0.25">
      <c r="A30" s="442">
        <v>14</v>
      </c>
      <c r="B30" s="417" t="s">
        <v>112</v>
      </c>
      <c r="C30" s="417"/>
      <c r="D30" s="417" t="s">
        <v>52</v>
      </c>
      <c r="E30" s="428">
        <v>8060336.538461538</v>
      </c>
      <c r="F30" s="425">
        <f>'Bảng tính lương moi( THUE LD2)'!W19/2</f>
        <v>1315745.1923076923</v>
      </c>
      <c r="G30" s="424">
        <f t="shared" si="7"/>
        <v>6744591.346153846</v>
      </c>
      <c r="H30" s="429"/>
      <c r="I30" s="429"/>
      <c r="J30" s="427">
        <v>11000000</v>
      </c>
      <c r="K30" s="426">
        <f t="shared" si="8"/>
        <v>0</v>
      </c>
      <c r="L30" s="427">
        <f>K30+J30+H30</f>
        <v>11000000</v>
      </c>
      <c r="M30" s="427">
        <f t="shared" si="9"/>
        <v>-4255408.653846154</v>
      </c>
      <c r="N30" s="458">
        <f>IF($A30="",0,IF(M30&lt;=0,0,IF(M30&lt;=5000000,M30*$P$3,IF(M30&lt;=10000000,$P$2*$P$3+(M30-$P$2)*$Q$3,IF(M30&lt;18000000,$P$2*$P$3+$P$2*$Q$3+(M30-$Q$2)*$R$3,IF(M30&lt;=32000000,$P$2*$P$3+$P$2*$Q$3+$R$2*$R$3+(M30-$S$2)*$S$3))))))</f>
        <v>0</v>
      </c>
      <c r="O30" s="404" t="s">
        <v>214</v>
      </c>
      <c r="P30" s="403"/>
      <c r="Q30" s="403"/>
      <c r="R30" s="403"/>
      <c r="S30" s="403"/>
      <c r="T30" s="403"/>
      <c r="U30" s="403"/>
    </row>
    <row r="31" spans="1:21" s="404" customFormat="1" ht="18" customHeight="1" x14ac:dyDescent="0.25">
      <c r="A31" s="442">
        <v>15</v>
      </c>
      <c r="B31" s="417" t="s">
        <v>113</v>
      </c>
      <c r="C31" s="417"/>
      <c r="D31" s="417" t="s">
        <v>53</v>
      </c>
      <c r="E31" s="428">
        <v>4750600.961538462</v>
      </c>
      <c r="F31" s="425">
        <f>'Bảng tính lương moi( THUE LD2)'!W20/2</f>
        <v>240685.09615384616</v>
      </c>
      <c r="G31" s="424">
        <f t="shared" si="7"/>
        <v>4509915.865384616</v>
      </c>
      <c r="H31" s="429"/>
      <c r="I31" s="429"/>
      <c r="J31" s="427">
        <v>11000000</v>
      </c>
      <c r="K31" s="426">
        <f t="shared" si="8"/>
        <v>0</v>
      </c>
      <c r="L31" s="427">
        <f>K31+J31+H31</f>
        <v>11000000</v>
      </c>
      <c r="M31" s="427">
        <f t="shared" si="9"/>
        <v>-6490084.134615384</v>
      </c>
      <c r="N31" s="458">
        <f>IF($A31="",0,IF(M31&lt;=0,0,IF(M31&lt;=5000000,M31*$P$3,IF(M31&lt;=10000000,$P$2*$P$3+(M31-$P$2)*$Q$3,IF(M31&lt;18000000,$P$2*$P$3+$P$2*$Q$3+(M31-$Q$2)*$R$3,IF(M31&lt;=32000000,$P$2*$P$3+$P$2*$Q$3+$R$2*$R$3+(M31-$S$2)*$S$3))))))</f>
        <v>0</v>
      </c>
      <c r="O31" s="404" t="s">
        <v>239</v>
      </c>
      <c r="P31" s="403"/>
      <c r="Q31" s="403"/>
      <c r="R31" s="403"/>
      <c r="S31" s="403"/>
      <c r="T31" s="403"/>
      <c r="U31" s="403"/>
    </row>
    <row r="32" spans="1:21" s="404" customFormat="1" ht="18" customHeight="1" x14ac:dyDescent="0.25">
      <c r="A32" s="442">
        <v>16</v>
      </c>
      <c r="B32" s="417" t="s">
        <v>114</v>
      </c>
      <c r="C32" s="417"/>
      <c r="D32" s="417" t="s">
        <v>54</v>
      </c>
      <c r="E32" s="428">
        <v>5257560.0961538451</v>
      </c>
      <c r="F32" s="425">
        <f>'Bảng tính lương moi( THUE LD2)'!W21/2</f>
        <v>1059549.2788461538</v>
      </c>
      <c r="G32" s="424">
        <f t="shared" si="7"/>
        <v>4198010.8173076911</v>
      </c>
      <c r="H32" s="429"/>
      <c r="I32" s="429"/>
      <c r="J32" s="427">
        <v>11000000</v>
      </c>
      <c r="K32" s="426">
        <f t="shared" si="8"/>
        <v>0</v>
      </c>
      <c r="L32" s="427">
        <f>K32+J32+H32</f>
        <v>11000000</v>
      </c>
      <c r="M32" s="427">
        <f t="shared" si="9"/>
        <v>-6801989.1826923089</v>
      </c>
      <c r="N32" s="458">
        <f>IF($A32="",0,IF(M32&lt;=0,0,IF(M32&lt;=5000000,M32*$P$3,IF(M32&lt;=10000000,$P$2*$P$3+(M32-$P$2)*$Q$3,IF(M32&lt;18000000,$P$2*$P$3+$P$2*$Q$3+(M32-$Q$2)*$R$3,IF(M32&lt;=32000000,$P$2*$P$3+$P$2*$Q$3+$R$2*$R$3+(M32-$S$2)*$S$3))))))</f>
        <v>0</v>
      </c>
      <c r="O32" s="404" t="s">
        <v>238</v>
      </c>
      <c r="P32" s="403"/>
      <c r="Q32" s="403"/>
      <c r="R32" s="403"/>
      <c r="S32" s="403"/>
      <c r="T32" s="403"/>
      <c r="U32" s="403"/>
    </row>
    <row r="33" spans="1:21" s="430" customFormat="1" ht="18" customHeight="1" x14ac:dyDescent="0.25">
      <c r="A33" s="443">
        <v>17</v>
      </c>
      <c r="B33" s="431" t="s">
        <v>115</v>
      </c>
      <c r="C33" s="431"/>
      <c r="D33" s="431" t="s">
        <v>55</v>
      </c>
      <c r="E33" s="428">
        <v>256730.76923076925</v>
      </c>
      <c r="F33" s="425">
        <f>'Bảng tính lương moi( THUE LD2)'!W22/2</f>
        <v>0</v>
      </c>
      <c r="G33" s="424">
        <f t="shared" si="7"/>
        <v>256730.76923076925</v>
      </c>
      <c r="H33" s="429"/>
      <c r="I33" s="429"/>
      <c r="J33" s="427">
        <v>11000000</v>
      </c>
      <c r="K33" s="426">
        <f t="shared" si="8"/>
        <v>0</v>
      </c>
      <c r="L33" s="427">
        <f>K33+J33+H33</f>
        <v>11000000</v>
      </c>
      <c r="M33" s="427">
        <f t="shared" si="9"/>
        <v>-10743269.23076923</v>
      </c>
      <c r="N33" s="458">
        <f>IF($A33="",0,IF(M33&lt;=0,0,IF(M33&lt;=5000000,M33*$P$3,IF(M33&lt;=10000000,$P$2*$P$3+(M33-$P$2)*$Q$3,IF(M33&lt;18000000,$P$2*$P$3+$P$2*$Q$3+(M33-$Q$2)*$R$3,IF(M33&lt;=32000000,$P$2*$P$3+$P$2*$Q$3+$R$2*$R$3+(M33-$S$2)*$S$3))))))</f>
        <v>0</v>
      </c>
      <c r="P33" s="432"/>
      <c r="Q33" s="432"/>
      <c r="R33" s="432"/>
      <c r="S33" s="432"/>
      <c r="T33" s="432"/>
      <c r="U33" s="432"/>
    </row>
    <row r="34" spans="1:21" s="430" customFormat="1" ht="18" customHeight="1" x14ac:dyDescent="0.25">
      <c r="A34" s="443">
        <v>18</v>
      </c>
      <c r="B34" s="431" t="s">
        <v>116</v>
      </c>
      <c r="C34" s="431"/>
      <c r="D34" s="431" t="s">
        <v>56</v>
      </c>
      <c r="E34" s="428">
        <v>577644.23076923075</v>
      </c>
      <c r="F34" s="425">
        <f>'Bảng tính lương moi( THUE LD2)'!W23/2</f>
        <v>32091.346153846156</v>
      </c>
      <c r="G34" s="424">
        <f t="shared" si="7"/>
        <v>545552.88461538462</v>
      </c>
      <c r="H34" s="429"/>
      <c r="I34" s="429"/>
      <c r="J34" s="427">
        <v>11000000</v>
      </c>
      <c r="K34" s="426">
        <f t="shared" si="8"/>
        <v>0</v>
      </c>
      <c r="L34" s="427">
        <f>K34+J34+H34</f>
        <v>11000000</v>
      </c>
      <c r="M34" s="427">
        <f t="shared" si="9"/>
        <v>-10454447.115384616</v>
      </c>
      <c r="N34" s="458">
        <f>IF($A34="",0,IF(M34&lt;=0,0,IF(M34&lt;=5000000,M34*$P$3,IF(M34&lt;=10000000,$P$2*$P$3+(M34-$P$2)*$Q$3,IF(M34&lt;18000000,$P$2*$P$3+$P$2*$Q$3+(M34-$Q$2)*$R$3,IF(M34&lt;=32000000,$P$2*$P$3+$P$2*$Q$3+$R$2*$R$3+(M34-$S$2)*$S$3))))))</f>
        <v>0</v>
      </c>
      <c r="P34" s="432"/>
      <c r="Q34" s="432"/>
      <c r="R34" s="432"/>
      <c r="S34" s="432"/>
      <c r="T34" s="432"/>
      <c r="U34" s="432"/>
    </row>
    <row r="35" spans="1:21" s="430" customFormat="1" ht="18" customHeight="1" x14ac:dyDescent="0.25">
      <c r="A35" s="443">
        <v>19</v>
      </c>
      <c r="B35" s="431" t="s">
        <v>117</v>
      </c>
      <c r="C35" s="431"/>
      <c r="D35" s="431" t="s">
        <v>57</v>
      </c>
      <c r="E35" s="428">
        <v>647175.48076923075</v>
      </c>
      <c r="F35" s="425">
        <f>'Bảng tính lương moi( THUE LD2)'!W24/2</f>
        <v>24068.509615384617</v>
      </c>
      <c r="G35" s="424">
        <f t="shared" si="7"/>
        <v>623106.97115384613</v>
      </c>
      <c r="H35" s="429"/>
      <c r="I35" s="429"/>
      <c r="J35" s="427">
        <v>11000000</v>
      </c>
      <c r="K35" s="426">
        <f t="shared" si="8"/>
        <v>0</v>
      </c>
      <c r="L35" s="427">
        <f>K35+J35+H35</f>
        <v>11000000</v>
      </c>
      <c r="M35" s="427">
        <f t="shared" si="9"/>
        <v>-10376893.028846154</v>
      </c>
      <c r="N35" s="458">
        <f>IF($A35="",0,IF(M35&lt;=0,0,IF(M35&lt;=5000000,M35*$P$3,IF(M35&lt;=10000000,$P$2*$P$3+(M35-$P$2)*$Q$3,IF(M35&lt;18000000,$P$2*$P$3+$P$2*$Q$3+(M35-$Q$2)*$R$3,IF(M35&lt;=32000000,$P$2*$P$3+$P$2*$Q$3+$R$2*$R$3+(M35-$S$2)*$S$3))))))</f>
        <v>0</v>
      </c>
      <c r="P35" s="432"/>
      <c r="Q35" s="432"/>
      <c r="R35" s="432"/>
      <c r="S35" s="432"/>
      <c r="T35" s="432"/>
      <c r="U35" s="432"/>
    </row>
    <row r="36" spans="1:21" s="404" customFormat="1" ht="18" customHeight="1" x14ac:dyDescent="0.25">
      <c r="A36" s="442">
        <v>20</v>
      </c>
      <c r="B36" s="417" t="s">
        <v>118</v>
      </c>
      <c r="C36" s="417"/>
      <c r="D36" s="417" t="s">
        <v>58</v>
      </c>
      <c r="E36" s="428">
        <v>4695492.788461538</v>
      </c>
      <c r="F36" s="425">
        <f>'Bảng tính lương moi( THUE LD2)'!W25/2</f>
        <v>847746.39423076925</v>
      </c>
      <c r="G36" s="424">
        <f t="shared" si="7"/>
        <v>3847746.394230769</v>
      </c>
      <c r="H36" s="429"/>
      <c r="I36" s="429"/>
      <c r="J36" s="427">
        <v>11000000</v>
      </c>
      <c r="K36" s="426">
        <f t="shared" si="8"/>
        <v>0</v>
      </c>
      <c r="L36" s="427">
        <f>K36+J36+H36</f>
        <v>11000000</v>
      </c>
      <c r="M36" s="427">
        <f t="shared" si="9"/>
        <v>-7152253.605769231</v>
      </c>
      <c r="N36" s="458">
        <f>IF($A36="",0,IF(M36&lt;=0,0,IF(M36&lt;=5000000,M36*$P$3,IF(M36&lt;=10000000,$P$2*$P$3+(M36-$P$2)*$Q$3,IF(M36&lt;18000000,$P$2*$P$3+$P$2*$Q$3+(M36-$Q$2)*$R$3,IF(M36&lt;=32000000,$P$2*$P$3+$P$2*$Q$3+$R$2*$R$3+(M36-$S$2)*$S$3))))))</f>
        <v>0</v>
      </c>
      <c r="O36" s="404" t="s">
        <v>217</v>
      </c>
      <c r="P36" s="403"/>
      <c r="Q36" s="403"/>
      <c r="R36" s="403"/>
      <c r="S36" s="403"/>
      <c r="T36" s="403"/>
      <c r="U36" s="403"/>
    </row>
    <row r="37" spans="1:21" s="404" customFormat="1" ht="18" customHeight="1" x14ac:dyDescent="0.25">
      <c r="A37" s="442">
        <v>21</v>
      </c>
      <c r="B37" s="417" t="s">
        <v>119</v>
      </c>
      <c r="C37" s="417"/>
      <c r="D37" s="417" t="s">
        <v>59</v>
      </c>
      <c r="E37" s="428">
        <v>4695492.788461538</v>
      </c>
      <c r="F37" s="425">
        <f>'Bảng tính lương moi( THUE LD2)'!W26/2</f>
        <v>847746.39423076925</v>
      </c>
      <c r="G37" s="424">
        <f t="shared" si="7"/>
        <v>3847746.394230769</v>
      </c>
      <c r="H37" s="429"/>
      <c r="I37" s="429"/>
      <c r="J37" s="427">
        <v>11000000</v>
      </c>
      <c r="K37" s="426">
        <f t="shared" si="8"/>
        <v>0</v>
      </c>
      <c r="L37" s="427">
        <f>K37+J37+H37</f>
        <v>11000000</v>
      </c>
      <c r="M37" s="427">
        <f t="shared" si="9"/>
        <v>-7152253.605769231</v>
      </c>
      <c r="N37" s="458">
        <f>IF($A37="",0,IF(M37&lt;=0,0,IF(M37&lt;=5000000,M37*$P$3,IF(M37&lt;=10000000,$P$2*$P$3+(M37-$P$2)*$Q$3,IF(M37&lt;18000000,$P$2*$P$3+$P$2*$Q$3+(M37-$Q$2)*$R$3,IF(M37&lt;=32000000,$P$2*$P$3+$P$2*$Q$3+$R$2*$R$3+(M37-$S$2)*$S$3))))))</f>
        <v>0</v>
      </c>
      <c r="O37" s="404" t="s">
        <v>217</v>
      </c>
      <c r="P37" s="403"/>
      <c r="Q37" s="403"/>
      <c r="R37" s="403"/>
      <c r="S37" s="403"/>
      <c r="T37" s="403"/>
      <c r="U37" s="403"/>
    </row>
    <row r="38" spans="1:21" s="404" customFormat="1" ht="18" customHeight="1" x14ac:dyDescent="0.25">
      <c r="A38" s="442">
        <v>22</v>
      </c>
      <c r="B38" s="417" t="s">
        <v>120</v>
      </c>
      <c r="C38" s="417"/>
      <c r="D38" s="417" t="s">
        <v>60</v>
      </c>
      <c r="E38" s="428">
        <v>3775540.8653846155</v>
      </c>
      <c r="F38" s="425">
        <f>'Bảng tính lương moi( THUE LD2)'!W27/2</f>
        <v>387770.43269230769</v>
      </c>
      <c r="G38" s="424">
        <f t="shared" si="7"/>
        <v>3387770.432692308</v>
      </c>
      <c r="H38" s="429"/>
      <c r="I38" s="429"/>
      <c r="J38" s="427">
        <v>11000000</v>
      </c>
      <c r="K38" s="426">
        <f t="shared" si="8"/>
        <v>0</v>
      </c>
      <c r="L38" s="427">
        <f>K38+J38+H38</f>
        <v>11000000</v>
      </c>
      <c r="M38" s="427">
        <f t="shared" si="9"/>
        <v>-7612229.567307692</v>
      </c>
      <c r="N38" s="458">
        <f>IF($A38="",0,IF(M38&lt;=0,0,IF(M38&lt;=5000000,M38*$P$3,IF(M38&lt;=10000000,$P$2*$P$3+(M38-$P$2)*$Q$3,IF(M38&lt;18000000,$P$2*$P$3+$P$2*$Q$3+(M38-$Q$2)*$R$3,IF(M38&lt;=32000000,$P$2*$P$3+$P$2*$Q$3+$R$2*$R$3+(M38-$S$2)*$S$3))))))</f>
        <v>0</v>
      </c>
      <c r="O38" s="404" t="s">
        <v>217</v>
      </c>
      <c r="P38" s="403"/>
      <c r="Q38" s="403"/>
      <c r="R38" s="403"/>
      <c r="S38" s="403"/>
      <c r="T38" s="403"/>
      <c r="U38" s="403"/>
    </row>
    <row r="39" spans="1:21" s="404" customFormat="1" ht="18" customHeight="1" x14ac:dyDescent="0.25">
      <c r="A39" s="442">
        <v>24</v>
      </c>
      <c r="B39" s="417" t="s">
        <v>122</v>
      </c>
      <c r="C39" s="417"/>
      <c r="D39" s="417" t="s">
        <v>62</v>
      </c>
      <c r="E39" s="428">
        <v>4336382.211538462</v>
      </c>
      <c r="F39" s="425">
        <f>'Bảng tính lương moi( THUE LD2)'!W28/2</f>
        <v>793191.10576923087</v>
      </c>
      <c r="G39" s="424">
        <f t="shared" si="7"/>
        <v>3543191.105769231</v>
      </c>
      <c r="H39" s="429"/>
      <c r="I39" s="429"/>
      <c r="J39" s="427">
        <v>11000000</v>
      </c>
      <c r="K39" s="426">
        <f t="shared" si="8"/>
        <v>0</v>
      </c>
      <c r="L39" s="427">
        <f>K39+J39+H39</f>
        <v>11000000</v>
      </c>
      <c r="M39" s="427">
        <f t="shared" si="9"/>
        <v>-7456808.894230769</v>
      </c>
      <c r="N39" s="458">
        <f>IF($A39="",0,IF(M39&lt;=0,0,IF(M39&lt;=5000000,M39*$P$3,IF(M39&lt;=10000000,$P$2*$P$3+(M39-$P$2)*$Q$3,IF(M39&lt;18000000,$P$2*$P$3+$P$2*$Q$3+(M39-$Q$2)*$R$3,IF(M39&lt;=32000000,$P$2*$P$3+$P$2*$Q$3+$R$2*$R$3+(M39-$S$2)*$S$3))))))</f>
        <v>0</v>
      </c>
      <c r="O39" s="404" t="s">
        <v>233</v>
      </c>
      <c r="P39" s="403"/>
      <c r="Q39" s="403"/>
      <c r="R39" s="403"/>
      <c r="S39" s="403"/>
      <c r="T39" s="403"/>
      <c r="U39" s="403"/>
    </row>
    <row r="40" spans="1:21" s="404" customFormat="1" ht="18" customHeight="1" x14ac:dyDescent="0.25">
      <c r="A40" s="442">
        <v>25</v>
      </c>
      <c r="B40" s="417" t="s">
        <v>123</v>
      </c>
      <c r="C40" s="417"/>
      <c r="D40" s="417" t="s">
        <v>63</v>
      </c>
      <c r="E40" s="428">
        <v>4086334.134615385</v>
      </c>
      <c r="F40" s="425">
        <f>'Bảng tính lương moi( THUE LD2)'!W29/2</f>
        <v>773936.29807692301</v>
      </c>
      <c r="G40" s="424">
        <f t="shared" si="7"/>
        <v>3312397.836538462</v>
      </c>
      <c r="H40" s="429"/>
      <c r="I40" s="429"/>
      <c r="J40" s="427">
        <v>11000000</v>
      </c>
      <c r="K40" s="426">
        <f t="shared" si="8"/>
        <v>0</v>
      </c>
      <c r="L40" s="427">
        <f>K40+J40+H40</f>
        <v>11000000</v>
      </c>
      <c r="M40" s="427">
        <f t="shared" si="9"/>
        <v>-7687602.163461538</v>
      </c>
      <c r="N40" s="458">
        <f>IF($A40="",0,IF(M40&lt;=0,0,IF(M40&lt;=5000000,M40*$P$3,IF(M40&lt;=10000000,$P$2*$P$3+(M40-$P$2)*$Q$3,IF(M40&lt;18000000,$P$2*$P$3+$P$2*$Q$3+(M40-$Q$2)*$R$3,IF(M40&lt;=32000000,$P$2*$P$3+$P$2*$Q$3+$R$2*$R$3+(M40-$S$2)*$S$3))))))</f>
        <v>0</v>
      </c>
      <c r="P40" s="403"/>
      <c r="Q40" s="403"/>
      <c r="R40" s="403"/>
      <c r="S40" s="403"/>
      <c r="T40" s="403"/>
      <c r="U40" s="403"/>
    </row>
    <row r="41" spans="1:21" s="404" customFormat="1" ht="18" customHeight="1" x14ac:dyDescent="0.25">
      <c r="A41" s="442">
        <v>26</v>
      </c>
      <c r="B41" s="417" t="s">
        <v>124</v>
      </c>
      <c r="C41" s="417"/>
      <c r="D41" s="417" t="s">
        <v>64</v>
      </c>
      <c r="E41" s="428">
        <v>1486899.0384615385</v>
      </c>
      <c r="F41" s="425">
        <f>'Bảng tính lương moi( THUE LD2)'!W30/2</f>
        <v>315564.90384615387</v>
      </c>
      <c r="G41" s="424">
        <f t="shared" si="7"/>
        <v>1171334.1346153845</v>
      </c>
      <c r="H41" s="429"/>
      <c r="I41" s="429"/>
      <c r="J41" s="427">
        <v>11000000</v>
      </c>
      <c r="K41" s="426">
        <f t="shared" si="8"/>
        <v>0</v>
      </c>
      <c r="L41" s="427">
        <f>K41+J41+H41</f>
        <v>11000000</v>
      </c>
      <c r="M41" s="427">
        <f t="shared" si="9"/>
        <v>-9828665.865384616</v>
      </c>
      <c r="N41" s="458">
        <f>IF($A41="",0,IF(M41&lt;=0,0,IF(M41&lt;=5000000,M41*$P$3,IF(M41&lt;=10000000,$P$2*$P$3+(M41-$P$2)*$Q$3,IF(M41&lt;18000000,$P$2*$P$3+$P$2*$Q$3+(M41-$Q$2)*$R$3,IF(M41&lt;=32000000,$P$2*$P$3+$P$2*$Q$3+$R$2*$R$3+(M41-$S$2)*$S$3))))))</f>
        <v>0</v>
      </c>
      <c r="P41" s="403"/>
      <c r="Q41" s="403"/>
      <c r="R41" s="403"/>
      <c r="S41" s="403"/>
      <c r="T41" s="403"/>
      <c r="U41" s="403"/>
    </row>
    <row r="42" spans="1:21" s="404" customFormat="1" ht="18" customHeight="1" x14ac:dyDescent="0.25">
      <c r="A42" s="442">
        <v>27</v>
      </c>
      <c r="B42" s="417" t="s">
        <v>125</v>
      </c>
      <c r="C42" s="417"/>
      <c r="D42" s="417" t="s">
        <v>65</v>
      </c>
      <c r="E42" s="428">
        <v>1535036.0576923075</v>
      </c>
      <c r="F42" s="425">
        <f>'Bảng tính lương moi( THUE LD2)'!W31/2</f>
        <v>339633.41346153844</v>
      </c>
      <c r="G42" s="424">
        <f t="shared" si="7"/>
        <v>1195402.644230769</v>
      </c>
      <c r="H42" s="429"/>
      <c r="I42" s="429"/>
      <c r="J42" s="427">
        <v>11000000</v>
      </c>
      <c r="K42" s="426">
        <f t="shared" si="8"/>
        <v>0</v>
      </c>
      <c r="L42" s="427">
        <f>K42+J42+H42</f>
        <v>11000000</v>
      </c>
      <c r="M42" s="427">
        <f t="shared" si="9"/>
        <v>-9804597.3557692319</v>
      </c>
      <c r="N42" s="458">
        <f>IF($A42="",0,IF(M42&lt;=0,0,IF(M42&lt;=5000000,M42*$P$3,IF(M42&lt;=10000000,$P$2*$P$3+(M42-$P$2)*$Q$3,IF(M42&lt;18000000,$P$2*$P$3+$P$2*$Q$3+(M42-$Q$2)*$R$3,IF(M42&lt;=32000000,$P$2*$P$3+$P$2*$Q$3+$R$2*$R$3+(M42-$S$2)*$S$3))))))</f>
        <v>0</v>
      </c>
      <c r="P42" s="403"/>
      <c r="Q42" s="403"/>
      <c r="R42" s="403"/>
      <c r="S42" s="403"/>
      <c r="T42" s="403"/>
      <c r="U42" s="403"/>
    </row>
    <row r="43" spans="1:21" s="404" customFormat="1" ht="18" customHeight="1" x14ac:dyDescent="0.25">
      <c r="A43" s="442">
        <v>28</v>
      </c>
      <c r="B43" s="417" t="s">
        <v>126</v>
      </c>
      <c r="C43" s="417"/>
      <c r="D43" s="417" t="s">
        <v>235</v>
      </c>
      <c r="E43" s="428">
        <v>2810456.730769231</v>
      </c>
      <c r="F43" s="425">
        <f>'Bảng tính lương moi( THUE LD2)'!W32/2</f>
        <v>251382.21153846153</v>
      </c>
      <c r="G43" s="424">
        <f t="shared" si="7"/>
        <v>2559074.5192307695</v>
      </c>
      <c r="H43" s="429"/>
      <c r="I43" s="429"/>
      <c r="J43" s="427">
        <v>11000000</v>
      </c>
      <c r="K43" s="426">
        <f t="shared" si="8"/>
        <v>0</v>
      </c>
      <c r="L43" s="427">
        <f>K43+J43+H43</f>
        <v>11000000</v>
      </c>
      <c r="M43" s="427">
        <f t="shared" si="9"/>
        <v>-8440925.4807692301</v>
      </c>
      <c r="N43" s="458">
        <f>IF($A43="",0,IF(M43&lt;=0,0,IF(M43&lt;=5000000,M43*$P$3,IF(M43&lt;=10000000,$P$2*$P$3+(M43-$P$2)*$Q$3,IF(M43&lt;18000000,$P$2*$P$3+$P$2*$Q$3+(M43-$Q$2)*$R$3,IF(M43&lt;=32000000,$P$2*$P$3+$P$2*$Q$3+$R$2*$R$3+(M43-$S$2)*$S$3))))))</f>
        <v>0</v>
      </c>
      <c r="O43" s="404" t="s">
        <v>236</v>
      </c>
      <c r="P43" s="403"/>
      <c r="Q43" s="403"/>
      <c r="R43" s="403"/>
      <c r="S43" s="403"/>
      <c r="T43" s="403"/>
      <c r="U43" s="403"/>
    </row>
    <row r="44" spans="1:21" s="404" customFormat="1" ht="18" customHeight="1" x14ac:dyDescent="0.25">
      <c r="A44" s="442">
        <v>29</v>
      </c>
      <c r="B44" s="417" t="s">
        <v>127</v>
      </c>
      <c r="C44" s="417"/>
      <c r="D44" s="417" t="s">
        <v>66</v>
      </c>
      <c r="E44" s="428">
        <v>3480588.9423076925</v>
      </c>
      <c r="F44" s="425">
        <f>'Bảng tính lương moi( THUE LD2)'!W33/2</f>
        <v>355679.08653846156</v>
      </c>
      <c r="G44" s="424">
        <f t="shared" si="7"/>
        <v>3124909.855769231</v>
      </c>
      <c r="H44" s="429"/>
      <c r="I44" s="429"/>
      <c r="J44" s="427">
        <v>11000000</v>
      </c>
      <c r="K44" s="426">
        <f t="shared" si="8"/>
        <v>0</v>
      </c>
      <c r="L44" s="427">
        <f>K44+J44+H44</f>
        <v>11000000</v>
      </c>
      <c r="M44" s="427">
        <f t="shared" si="9"/>
        <v>-7875090.144230769</v>
      </c>
      <c r="N44" s="458">
        <f>IF($A44="",0,IF(M44&lt;=0,0,IF(M44&lt;=5000000,M44*$P$3,IF(M44&lt;=10000000,$P$2*$P$3+(M44-$P$2)*$Q$3,IF(M44&lt;18000000,$P$2*$P$3+$P$2*$Q$3+(M44-$Q$2)*$R$3,IF(M44&lt;=32000000,$P$2*$P$3+$P$2*$Q$3+$R$2*$R$3+(M44-$S$2)*$S$3))))))</f>
        <v>0</v>
      </c>
      <c r="O44" s="404" t="s">
        <v>217</v>
      </c>
      <c r="P44" s="403"/>
      <c r="Q44" s="403"/>
      <c r="R44" s="403"/>
      <c r="S44" s="403"/>
      <c r="T44" s="403"/>
      <c r="U44" s="403"/>
    </row>
    <row r="45" spans="1:21" s="404" customFormat="1" ht="18" customHeight="1" x14ac:dyDescent="0.25">
      <c r="A45" s="442">
        <v>30</v>
      </c>
      <c r="B45" s="417" t="s">
        <v>128</v>
      </c>
      <c r="C45" s="417"/>
      <c r="D45" s="417" t="s">
        <v>67</v>
      </c>
      <c r="E45" s="428">
        <v>6112439.903846154</v>
      </c>
      <c r="F45" s="425">
        <f>'Bảng tính lương moi( THUE LD2)'!W34/2</f>
        <v>451412.25961538462</v>
      </c>
      <c r="G45" s="424">
        <f t="shared" si="7"/>
        <v>5661027.644230769</v>
      </c>
      <c r="H45" s="429"/>
      <c r="I45" s="429"/>
      <c r="J45" s="427">
        <v>11000000</v>
      </c>
      <c r="K45" s="426">
        <f t="shared" si="8"/>
        <v>0</v>
      </c>
      <c r="L45" s="427">
        <f>K45+J45+H45</f>
        <v>11000000</v>
      </c>
      <c r="M45" s="427">
        <f t="shared" si="9"/>
        <v>-5338972.355769231</v>
      </c>
      <c r="N45" s="458">
        <f>IF($A45="",0,IF(M45&lt;=0,0,IF(M45&lt;=5000000,M45*$P$3,IF(M45&lt;=10000000,$P$2*$P$3+(M45-$P$2)*$Q$3,IF(M45&lt;18000000,$P$2*$P$3+$P$2*$Q$3+(M45-$Q$2)*$R$3,IF(M45&lt;=32000000,$P$2*$P$3+$P$2*$Q$3+$R$2*$R$3+(M45-$S$2)*$S$3))))))</f>
        <v>0</v>
      </c>
      <c r="P45" s="403"/>
      <c r="Q45" s="403"/>
      <c r="R45" s="403"/>
      <c r="S45" s="403"/>
      <c r="T45" s="403"/>
      <c r="U45" s="403"/>
    </row>
    <row r="46" spans="1:21" s="404" customFormat="1" ht="18" customHeight="1" x14ac:dyDescent="0.25">
      <c r="A46" s="442">
        <v>31</v>
      </c>
      <c r="B46" s="417" t="s">
        <v>129</v>
      </c>
      <c r="C46" s="417"/>
      <c r="D46" s="417" t="s">
        <v>96</v>
      </c>
      <c r="E46" s="428">
        <v>2911538.4615384615</v>
      </c>
      <c r="F46" s="425">
        <f>'Bảng tính lương moi( THUE LD2)'!W35/2</f>
        <v>239423.07692307694</v>
      </c>
      <c r="G46" s="424">
        <f t="shared" si="7"/>
        <v>2672115.3846153845</v>
      </c>
      <c r="H46" s="429"/>
      <c r="I46" s="429"/>
      <c r="J46" s="427">
        <v>11000000</v>
      </c>
      <c r="K46" s="426">
        <f t="shared" si="8"/>
        <v>0</v>
      </c>
      <c r="L46" s="427">
        <f>K46+J46+H46</f>
        <v>11000000</v>
      </c>
      <c r="M46" s="427">
        <f t="shared" si="9"/>
        <v>-8327884.615384616</v>
      </c>
      <c r="N46" s="458">
        <f>IF($A46="",0,IF(M46&lt;=0,0,IF(M46&lt;=5000000,M46*$P$3,IF(M46&lt;=10000000,$P$2*$P$3+(M46-$P$2)*$Q$3,IF(M46&lt;18000000,$P$2*$P$3+$P$2*$Q$3+(M46-$Q$2)*$R$3,IF(M46&lt;=32000000,$P$2*$P$3+$P$2*$Q$3+$R$2*$R$3+(M46-$S$2)*$S$3))))))</f>
        <v>0</v>
      </c>
      <c r="P46" s="403"/>
      <c r="Q46" s="403"/>
      <c r="R46" s="403"/>
      <c r="S46" s="403"/>
      <c r="T46" s="403"/>
      <c r="U46" s="403"/>
    </row>
    <row r="47" spans="1:21" s="404" customFormat="1" ht="18" customHeight="1" x14ac:dyDescent="0.25">
      <c r="A47" s="442">
        <v>32</v>
      </c>
      <c r="B47" s="417" t="s">
        <v>130</v>
      </c>
      <c r="C47" s="417"/>
      <c r="D47" s="417" t="s">
        <v>68</v>
      </c>
      <c r="E47" s="428">
        <v>1090564.903846154</v>
      </c>
      <c r="F47" s="425">
        <f>'Bảng tính lương moi( THUE LD2)'!W36/2</f>
        <v>122205.52884615386</v>
      </c>
      <c r="G47" s="424">
        <f t="shared" si="7"/>
        <v>968359.37500000012</v>
      </c>
      <c r="H47" s="429"/>
      <c r="I47" s="429"/>
      <c r="J47" s="427">
        <v>11000000</v>
      </c>
      <c r="K47" s="426">
        <f t="shared" si="8"/>
        <v>0</v>
      </c>
      <c r="L47" s="427">
        <f>K47+J47+H47</f>
        <v>11000000</v>
      </c>
      <c r="M47" s="427">
        <f t="shared" si="9"/>
        <v>-10031640.625</v>
      </c>
      <c r="N47" s="458">
        <f>IF($A47="",0,IF(M47&lt;=0,0,IF(M47&lt;=5000000,M47*$P$3,IF(M47&lt;=10000000,$P$2*$P$3+(M47-$P$2)*$Q$3,IF(M47&lt;18000000,$P$2*$P$3+$P$2*$Q$3+(M47-$Q$2)*$R$3,IF(M47&lt;=32000000,$P$2*$P$3+$P$2*$Q$3+$R$2*$R$3+(M47-$S$2)*$S$3))))))</f>
        <v>0</v>
      </c>
      <c r="O47" s="404" t="s">
        <v>217</v>
      </c>
      <c r="P47" s="403"/>
      <c r="Q47" s="403"/>
      <c r="R47" s="403"/>
      <c r="S47" s="403"/>
      <c r="T47" s="403"/>
      <c r="U47" s="403"/>
    </row>
    <row r="48" spans="1:21" s="404" customFormat="1" ht="18" customHeight="1" x14ac:dyDescent="0.25">
      <c r="A48" s="442">
        <v>33</v>
      </c>
      <c r="B48" s="417" t="s">
        <v>131</v>
      </c>
      <c r="C48" s="417"/>
      <c r="D48" s="417" t="s">
        <v>69</v>
      </c>
      <c r="E48" s="428">
        <v>2834278.8461538465</v>
      </c>
      <c r="F48" s="425">
        <f>'Bảng tính lương moi( THUE LD2)'!W37/2</f>
        <v>378677.88461538462</v>
      </c>
      <c r="G48" s="424">
        <f t="shared" si="7"/>
        <v>2455600.961538462</v>
      </c>
      <c r="H48" s="429"/>
      <c r="I48" s="429"/>
      <c r="J48" s="427">
        <v>11000000</v>
      </c>
      <c r="K48" s="426">
        <f t="shared" si="8"/>
        <v>0</v>
      </c>
      <c r="L48" s="427">
        <f>K48+J48+H48</f>
        <v>11000000</v>
      </c>
      <c r="M48" s="427">
        <f t="shared" si="9"/>
        <v>-8544399.038461538</v>
      </c>
      <c r="N48" s="458">
        <f>IF($A48="",0,IF(M48&lt;=0,0,IF(M48&lt;=5000000,M48*$P$3,IF(M48&lt;=10000000,$P$2*$P$3+(M48-$P$2)*$Q$3,IF(M48&lt;18000000,$P$2*$P$3+$P$2*$Q$3+(M48-$Q$2)*$R$3,IF(M48&lt;=32000000,$P$2*$P$3+$P$2*$Q$3+$R$2*$R$3+(M48-$S$2)*$S$3))))))</f>
        <v>0</v>
      </c>
      <c r="O48" s="404" t="s">
        <v>208</v>
      </c>
      <c r="P48" s="403"/>
      <c r="Q48" s="403"/>
      <c r="R48" s="403"/>
      <c r="S48" s="403"/>
      <c r="T48" s="403"/>
      <c r="U48" s="403"/>
    </row>
    <row r="49" spans="1:21" s="404" customFormat="1" ht="18" customHeight="1" x14ac:dyDescent="0.25">
      <c r="A49" s="442">
        <v>34</v>
      </c>
      <c r="B49" s="417" t="s">
        <v>132</v>
      </c>
      <c r="C49" s="417"/>
      <c r="D49" s="417" t="s">
        <v>70</v>
      </c>
      <c r="E49" s="428">
        <v>2942608.173076923</v>
      </c>
      <c r="F49" s="425">
        <f>'Bảng tính lương moi( THUE LD2)'!W38/2</f>
        <v>548227.1634615385</v>
      </c>
      <c r="G49" s="424">
        <f t="shared" si="7"/>
        <v>2394381.0096153845</v>
      </c>
      <c r="H49" s="429"/>
      <c r="I49" s="429"/>
      <c r="J49" s="427">
        <v>11000000</v>
      </c>
      <c r="K49" s="426">
        <f t="shared" si="8"/>
        <v>0</v>
      </c>
      <c r="L49" s="427">
        <f>K49+J49+H49</f>
        <v>11000000</v>
      </c>
      <c r="M49" s="427">
        <f t="shared" si="9"/>
        <v>-8605618.990384616</v>
      </c>
      <c r="N49" s="458">
        <f>IF($A49="",0,IF(M49&lt;=0,0,IF(M49&lt;=5000000,M49*$P$3,IF(M49&lt;=10000000,$P$2*$P$3+(M49-$P$2)*$Q$3,IF(M49&lt;18000000,$P$2*$P$3+$P$2*$Q$3+(M49-$Q$2)*$R$3,IF(M49&lt;=32000000,$P$2*$P$3+$P$2*$Q$3+$R$2*$R$3+(M49-$S$2)*$S$3))))))</f>
        <v>0</v>
      </c>
      <c r="O49" s="404" t="s">
        <v>223</v>
      </c>
      <c r="P49" s="403"/>
      <c r="Q49" s="403"/>
      <c r="R49" s="403"/>
      <c r="S49" s="403"/>
      <c r="T49" s="403"/>
      <c r="U49" s="403"/>
    </row>
    <row r="50" spans="1:21" s="404" customFormat="1" ht="18" customHeight="1" x14ac:dyDescent="0.25">
      <c r="A50" s="442">
        <v>35</v>
      </c>
      <c r="B50" s="417" t="s">
        <v>133</v>
      </c>
      <c r="C50" s="417"/>
      <c r="D50" s="417" t="s">
        <v>71</v>
      </c>
      <c r="E50" s="428">
        <v>2180192.3076923075</v>
      </c>
      <c r="F50" s="425">
        <f>'Bảng tính lương moi( THUE LD2)'!W39/2</f>
        <v>282403.84615384613</v>
      </c>
      <c r="G50" s="424">
        <f t="shared" si="7"/>
        <v>1897788.4615384615</v>
      </c>
      <c r="H50" s="429"/>
      <c r="I50" s="429"/>
      <c r="J50" s="427">
        <v>11000000</v>
      </c>
      <c r="K50" s="426">
        <f t="shared" si="8"/>
        <v>0</v>
      </c>
      <c r="L50" s="427">
        <f>K50+J50+H50</f>
        <v>11000000</v>
      </c>
      <c r="M50" s="427">
        <f t="shared" si="9"/>
        <v>-9102211.538461538</v>
      </c>
      <c r="N50" s="458">
        <f>IF($A50="",0,IF(M50&lt;=0,0,IF(M50&lt;=5000000,M50*$P$3,IF(M50&lt;=10000000,$P$2*$P$3+(M50-$P$2)*$Q$3,IF(M50&lt;18000000,$P$2*$P$3+$P$2*$Q$3+(M50-$Q$2)*$R$3,IF(M50&lt;=32000000,$P$2*$P$3+$P$2*$Q$3+$R$2*$R$3+(M50-$S$2)*$S$3))))))</f>
        <v>0</v>
      </c>
      <c r="O50" s="404" t="s">
        <v>207</v>
      </c>
      <c r="P50" s="403"/>
      <c r="Q50" s="403"/>
      <c r="R50" s="403"/>
      <c r="S50" s="403"/>
      <c r="T50" s="403"/>
      <c r="U50" s="403"/>
    </row>
    <row r="51" spans="1:21" s="404" customFormat="1" ht="18" customHeight="1" x14ac:dyDescent="0.25">
      <c r="A51" s="442">
        <v>36</v>
      </c>
      <c r="B51" s="417" t="s">
        <v>134</v>
      </c>
      <c r="C51" s="417"/>
      <c r="D51" s="417" t="s">
        <v>72</v>
      </c>
      <c r="E51" s="428">
        <v>2276466.346153846</v>
      </c>
      <c r="F51" s="425">
        <f>'Bảng tính lương moi( THUE LD2)'!W40/2</f>
        <v>330540.86538461538</v>
      </c>
      <c r="G51" s="424">
        <f t="shared" si="7"/>
        <v>1945925.4807692305</v>
      </c>
      <c r="H51" s="429"/>
      <c r="I51" s="429"/>
      <c r="J51" s="427">
        <v>11000000</v>
      </c>
      <c r="K51" s="426">
        <f t="shared" si="8"/>
        <v>0</v>
      </c>
      <c r="L51" s="427">
        <f>K51+J51+H51</f>
        <v>11000000</v>
      </c>
      <c r="M51" s="427">
        <f t="shared" si="9"/>
        <v>-9054074.5192307699</v>
      </c>
      <c r="N51" s="458">
        <f>IF($A51="",0,IF(M51&lt;=0,0,IF(M51&lt;=5000000,M51*$P$3,IF(M51&lt;=10000000,$P$2*$P$3+(M51-$P$2)*$Q$3,IF(M51&lt;18000000,$P$2*$P$3+$P$2*$Q$3+(M51-$Q$2)*$R$3,IF(M51&lt;=32000000,$P$2*$P$3+$P$2*$Q$3+$R$2*$R$3+(M51-$S$2)*$S$3))))))</f>
        <v>0</v>
      </c>
      <c r="P51" s="403"/>
      <c r="Q51" s="403"/>
      <c r="R51" s="403"/>
      <c r="S51" s="403"/>
      <c r="T51" s="403"/>
      <c r="U51" s="403"/>
    </row>
    <row r="52" spans="1:21" s="404" customFormat="1" ht="18" customHeight="1" x14ac:dyDescent="0.25">
      <c r="A52" s="442">
        <v>37</v>
      </c>
      <c r="B52" s="417" t="s">
        <v>135</v>
      </c>
      <c r="C52" s="417"/>
      <c r="D52" s="417" t="s">
        <v>73</v>
      </c>
      <c r="E52" s="428">
        <v>2439062.5</v>
      </c>
      <c r="F52" s="425">
        <f>'Bảng tính lương moi( THUE LD2)'!W41/2</f>
        <v>411838.94230769231</v>
      </c>
      <c r="G52" s="424">
        <f t="shared" si="7"/>
        <v>2027223.5576923077</v>
      </c>
      <c r="H52" s="429"/>
      <c r="I52" s="429"/>
      <c r="J52" s="427">
        <v>11000000</v>
      </c>
      <c r="K52" s="426">
        <f t="shared" si="8"/>
        <v>0</v>
      </c>
      <c r="L52" s="427">
        <f>K52+J52+H52</f>
        <v>11000000</v>
      </c>
      <c r="M52" s="427">
        <f t="shared" si="9"/>
        <v>-8972776.442307692</v>
      </c>
      <c r="N52" s="458">
        <f>IF($A52="",0,IF(M52&lt;=0,0,IF(M52&lt;=5000000,M52*$P$3,IF(M52&lt;=10000000,$P$2*$P$3+(M52-$P$2)*$Q$3,IF(M52&lt;18000000,$P$2*$P$3+$P$2*$Q$3+(M52-$Q$2)*$R$3,IF(M52&lt;=32000000,$P$2*$P$3+$P$2*$Q$3+$R$2*$R$3+(M52-$S$2)*$S$3))))))</f>
        <v>0</v>
      </c>
      <c r="O52" s="404" t="s">
        <v>219</v>
      </c>
      <c r="P52" s="403"/>
      <c r="Q52" s="403"/>
      <c r="R52" s="403"/>
      <c r="S52" s="403"/>
      <c r="T52" s="403"/>
      <c r="U52" s="403"/>
    </row>
    <row r="53" spans="1:21" s="404" customFormat="1" ht="18" customHeight="1" x14ac:dyDescent="0.25">
      <c r="A53" s="442">
        <v>38</v>
      </c>
      <c r="B53" s="417" t="s">
        <v>136</v>
      </c>
      <c r="C53" s="417"/>
      <c r="D53" s="417" t="s">
        <v>74</v>
      </c>
      <c r="E53" s="428">
        <v>2632908.653846154</v>
      </c>
      <c r="F53" s="425">
        <f>'Bảng tính lương moi( THUE LD2)'!W42/2</f>
        <v>411838.94230769231</v>
      </c>
      <c r="G53" s="424">
        <f t="shared" si="7"/>
        <v>2221069.7115384615</v>
      </c>
      <c r="H53" s="429"/>
      <c r="I53" s="429"/>
      <c r="J53" s="427">
        <v>11000000</v>
      </c>
      <c r="K53" s="426">
        <f t="shared" si="8"/>
        <v>0</v>
      </c>
      <c r="L53" s="427">
        <f>K53+J53+H53</f>
        <v>11000000</v>
      </c>
      <c r="M53" s="427">
        <f t="shared" si="9"/>
        <v>-8778930.288461538</v>
      </c>
      <c r="N53" s="458">
        <f>IF($A53="",0,IF(M53&lt;=0,0,IF(M53&lt;=5000000,M53*$P$3,IF(M53&lt;=10000000,$P$2*$P$3+(M53-$P$2)*$Q$3,IF(M53&lt;18000000,$P$2*$P$3+$P$2*$Q$3+(M53-$Q$2)*$R$3,IF(M53&lt;=32000000,$P$2*$P$3+$P$2*$Q$3+$R$2*$R$3+(M53-$S$2)*$S$3))))))</f>
        <v>0</v>
      </c>
      <c r="O53" s="404" t="s">
        <v>218</v>
      </c>
      <c r="P53" s="403"/>
      <c r="Q53" s="403"/>
      <c r="R53" s="403"/>
      <c r="S53" s="403"/>
      <c r="T53" s="403"/>
      <c r="U53" s="403"/>
    </row>
    <row r="54" spans="1:21" s="404" customFormat="1" ht="18" customHeight="1" x14ac:dyDescent="0.25">
      <c r="A54" s="442">
        <v>39</v>
      </c>
      <c r="B54" s="417" t="s">
        <v>137</v>
      </c>
      <c r="C54" s="417"/>
      <c r="D54" s="417" t="s">
        <v>75</v>
      </c>
      <c r="E54" s="428">
        <v>3474651.4423076925</v>
      </c>
      <c r="F54" s="425">
        <f>'Bảng tính lương moi( THUE LD2)'!W43/2</f>
        <v>545018.02884615387</v>
      </c>
      <c r="G54" s="424">
        <f t="shared" si="7"/>
        <v>2929633.4134615385</v>
      </c>
      <c r="H54" s="429"/>
      <c r="I54" s="429"/>
      <c r="J54" s="427">
        <v>11000000</v>
      </c>
      <c r="K54" s="426">
        <f t="shared" si="8"/>
        <v>0</v>
      </c>
      <c r="L54" s="427">
        <f>K54+J54+H54</f>
        <v>11000000</v>
      </c>
      <c r="M54" s="427">
        <f t="shared" si="9"/>
        <v>-8070366.586538462</v>
      </c>
      <c r="N54" s="458">
        <f>IF($A54="",0,IF(M54&lt;=0,0,IF(M54&lt;=5000000,M54*$P$3,IF(M54&lt;=10000000,$P$2*$P$3+(M54-$P$2)*$Q$3,IF(M54&lt;18000000,$P$2*$P$3+$P$2*$Q$3+(M54-$Q$2)*$R$3,IF(M54&lt;=32000000,$P$2*$P$3+$P$2*$Q$3+$R$2*$R$3+(M54-$S$2)*$S$3))))))</f>
        <v>0</v>
      </c>
      <c r="O54" s="404" t="s">
        <v>228</v>
      </c>
      <c r="P54" s="403"/>
      <c r="Q54" s="403"/>
      <c r="R54" s="403"/>
      <c r="S54" s="403"/>
      <c r="T54" s="403"/>
      <c r="U54" s="403"/>
    </row>
    <row r="55" spans="1:21" s="404" customFormat="1" ht="18" customHeight="1" x14ac:dyDescent="0.25">
      <c r="A55" s="442">
        <v>40</v>
      </c>
      <c r="B55" s="417" t="s">
        <v>138</v>
      </c>
      <c r="C55" s="417"/>
      <c r="D55" s="417" t="s">
        <v>76</v>
      </c>
      <c r="E55" s="428">
        <v>4425495.192307692</v>
      </c>
      <c r="F55" s="425">
        <f>'Bảng tính lương moi( THUE LD2)'!W44/2</f>
        <v>683901.44230769225</v>
      </c>
      <c r="G55" s="424">
        <f t="shared" si="7"/>
        <v>3741593.75</v>
      </c>
      <c r="H55" s="429"/>
      <c r="I55" s="429"/>
      <c r="J55" s="427">
        <v>11000000</v>
      </c>
      <c r="K55" s="426">
        <f t="shared" si="8"/>
        <v>0</v>
      </c>
      <c r="L55" s="427">
        <f>K55+J55+H55</f>
        <v>11000000</v>
      </c>
      <c r="M55" s="427">
        <f t="shared" si="9"/>
        <v>-7258406.25</v>
      </c>
      <c r="N55" s="458">
        <f>IF($A55="",0,IF(M55&lt;=0,0,IF(M55&lt;=5000000,M55*$P$3,IF(M55&lt;=10000000,$P$2*$P$3+(M55-$P$2)*$Q$3,IF(M55&lt;18000000,$P$2*$P$3+$P$2*$Q$3+(M55-$Q$2)*$R$3,IF(M55&lt;=32000000,$P$2*$P$3+$P$2*$Q$3+$R$2*$R$3+(M55-$S$2)*$S$3))))))</f>
        <v>0</v>
      </c>
      <c r="O55" s="404" t="s">
        <v>228</v>
      </c>
      <c r="P55" s="403"/>
      <c r="Q55" s="403"/>
      <c r="R55" s="403"/>
      <c r="S55" s="403"/>
      <c r="T55" s="403"/>
      <c r="U55" s="403"/>
    </row>
    <row r="56" spans="1:21" s="404" customFormat="1" ht="18" customHeight="1" x14ac:dyDescent="0.25">
      <c r="A56" s="442">
        <v>41</v>
      </c>
      <c r="B56" s="417" t="s">
        <v>139</v>
      </c>
      <c r="C56" s="417"/>
      <c r="D56" s="417" t="s">
        <v>77</v>
      </c>
      <c r="E56" s="428">
        <v>2439062.5</v>
      </c>
      <c r="F56" s="425">
        <f>'Bảng tính lương moi( THUE LD2)'!W45/2</f>
        <v>411838.94230769231</v>
      </c>
      <c r="G56" s="424">
        <f t="shared" si="7"/>
        <v>2027223.5576923077</v>
      </c>
      <c r="H56" s="429"/>
      <c r="I56" s="429"/>
      <c r="J56" s="427">
        <v>11000000</v>
      </c>
      <c r="K56" s="426">
        <f t="shared" si="8"/>
        <v>0</v>
      </c>
      <c r="L56" s="427">
        <f>K56+J56+H56</f>
        <v>11000000</v>
      </c>
      <c r="M56" s="427">
        <f t="shared" si="9"/>
        <v>-8972776.442307692</v>
      </c>
      <c r="N56" s="458">
        <f>IF($A56="",0,IF(M56&lt;=0,0,IF(M56&lt;=5000000,M56*$P$3,IF(M56&lt;=10000000,$P$2*$P$3+(M56-$P$2)*$Q$3,IF(M56&lt;18000000,$P$2*$P$3+$P$2*$Q$3+(M56-$Q$2)*$R$3,IF(M56&lt;=32000000,$P$2*$P$3+$P$2*$Q$3+$R$2*$R$3+(M56-$S$2)*$S$3))))))</f>
        <v>0</v>
      </c>
      <c r="O56" s="404" t="s">
        <v>220</v>
      </c>
      <c r="P56" s="403"/>
      <c r="Q56" s="403"/>
      <c r="R56" s="403"/>
      <c r="S56" s="403"/>
      <c r="T56" s="403"/>
      <c r="U56" s="403"/>
    </row>
    <row r="57" spans="1:21" s="33" customFormat="1" ht="18" customHeight="1" x14ac:dyDescent="0.25">
      <c r="A57" s="442">
        <v>42</v>
      </c>
      <c r="B57" s="418" t="s">
        <v>140</v>
      </c>
      <c r="C57" s="418"/>
      <c r="D57" s="433" t="s">
        <v>78</v>
      </c>
      <c r="E57" s="428">
        <v>1057692.3076923077</v>
      </c>
      <c r="F57" s="425">
        <f>'Bảng tính lương moi( THUE LD2)'!W46/2</f>
        <v>0</v>
      </c>
      <c r="G57" s="424">
        <f t="shared" si="7"/>
        <v>1057692.3076923077</v>
      </c>
      <c r="H57" s="429"/>
      <c r="I57" s="429"/>
      <c r="J57" s="427">
        <v>11000000</v>
      </c>
      <c r="K57" s="426">
        <f t="shared" si="8"/>
        <v>0</v>
      </c>
      <c r="L57" s="427">
        <f>K57+J57+H57</f>
        <v>11000000</v>
      </c>
      <c r="M57" s="427">
        <f t="shared" si="9"/>
        <v>-9942307.692307692</v>
      </c>
      <c r="N57" s="458">
        <f>IF($A57="",0,IF(M57&lt;=0,0,IF(M57&lt;=5000000,M57*$P$3,IF(M57&lt;=10000000,$P$2*$P$3+(M57-$P$2)*$Q$3,IF(M57&lt;18000000,$P$2*$P$3+$P$2*$Q$3+(M57-$Q$2)*$R$3,IF(M57&lt;=32000000,$P$2*$P$3+$P$2*$Q$3+$R$2*$R$3+(M57-$S$2)*$S$3))))))</f>
        <v>0</v>
      </c>
      <c r="O57" s="33" t="s">
        <v>217</v>
      </c>
      <c r="P57" s="434"/>
      <c r="Q57" s="434"/>
      <c r="R57" s="434"/>
      <c r="S57" s="434"/>
      <c r="T57" s="434"/>
      <c r="U57" s="434"/>
    </row>
    <row r="58" spans="1:21" s="33" customFormat="1" ht="18" customHeight="1" x14ac:dyDescent="0.25">
      <c r="A58" s="442">
        <v>43</v>
      </c>
      <c r="B58" s="418" t="s">
        <v>141</v>
      </c>
      <c r="C58" s="418"/>
      <c r="D58" s="418" t="s">
        <v>79</v>
      </c>
      <c r="E58" s="428">
        <v>2272475.9615384615</v>
      </c>
      <c r="F58" s="425">
        <f>'Bảng tính lương moi( THUE LD2)'!W47/2</f>
        <v>443930.28846153844</v>
      </c>
      <c r="G58" s="424">
        <f t="shared" si="7"/>
        <v>1828545.673076923</v>
      </c>
      <c r="H58" s="429"/>
      <c r="I58" s="429"/>
      <c r="J58" s="427">
        <v>11000000</v>
      </c>
      <c r="K58" s="426">
        <f t="shared" si="8"/>
        <v>0</v>
      </c>
      <c r="L58" s="427">
        <f>K58+J58+H58</f>
        <v>11000000</v>
      </c>
      <c r="M58" s="427">
        <f t="shared" si="9"/>
        <v>-9171454.3269230761</v>
      </c>
      <c r="N58" s="458">
        <f>IF($A58="",0,IF(M58&lt;=0,0,IF(M58&lt;=5000000,M58*$P$3,IF(M58&lt;=10000000,$P$2*$P$3+(M58-$P$2)*$Q$3,IF(M58&lt;18000000,$P$2*$P$3+$P$2*$Q$3+(M58-$Q$2)*$R$3,IF(M58&lt;=32000000,$P$2*$P$3+$P$2*$Q$3+$R$2*$R$3+(M58-$S$2)*$S$3))))))</f>
        <v>0</v>
      </c>
      <c r="O58" s="33" t="s">
        <v>217</v>
      </c>
      <c r="P58" s="434"/>
      <c r="Q58" s="434"/>
      <c r="R58" s="434"/>
      <c r="S58" s="434"/>
      <c r="T58" s="434"/>
      <c r="U58" s="434"/>
    </row>
    <row r="59" spans="1:21" s="435" customFormat="1" ht="18" customHeight="1" x14ac:dyDescent="0.25">
      <c r="A59" s="442">
        <v>45</v>
      </c>
      <c r="B59" s="418" t="s">
        <v>143</v>
      </c>
      <c r="C59" s="418"/>
      <c r="D59" s="433" t="s">
        <v>81</v>
      </c>
      <c r="E59" s="428">
        <v>3137980.769230769</v>
      </c>
      <c r="F59" s="425">
        <f>'Bảng tính lương moi( THUE LD2)'!W48/2</f>
        <v>210336.53846153847</v>
      </c>
      <c r="G59" s="424">
        <f t="shared" si="7"/>
        <v>2927644.2307692305</v>
      </c>
      <c r="H59" s="429"/>
      <c r="I59" s="429"/>
      <c r="J59" s="427">
        <v>11000000</v>
      </c>
      <c r="K59" s="426">
        <f t="shared" si="8"/>
        <v>0</v>
      </c>
      <c r="L59" s="427">
        <f>K59+J59+H59</f>
        <v>11000000</v>
      </c>
      <c r="M59" s="427">
        <f t="shared" si="9"/>
        <v>-8072355.7692307699</v>
      </c>
      <c r="N59" s="458">
        <f>IF($A59="",0,IF(M59&lt;=0,0,IF(M59&lt;=5000000,M59*$P$3,IF(M59&lt;=10000000,$P$2*$P$3+(M59-$P$2)*$Q$3,IF(M59&lt;18000000,$P$2*$P$3+$P$2*$Q$3+(M59-$Q$2)*$R$3,IF(M59&lt;=32000000,$P$2*$P$3+$P$2*$Q$3+$R$2*$R$3+(M59-$S$2)*$S$3))))))</f>
        <v>0</v>
      </c>
      <c r="P59" s="436"/>
      <c r="Q59" s="436"/>
      <c r="R59" s="436"/>
      <c r="S59" s="436"/>
      <c r="T59" s="436"/>
      <c r="U59" s="436"/>
    </row>
    <row r="60" spans="1:21" s="435" customFormat="1" ht="18" customHeight="1" x14ac:dyDescent="0.25">
      <c r="A60" s="442">
        <v>46</v>
      </c>
      <c r="B60" s="437" t="s">
        <v>144</v>
      </c>
      <c r="C60" s="437"/>
      <c r="D60" s="438" t="s">
        <v>82</v>
      </c>
      <c r="E60" s="428">
        <v>1061358.173076923</v>
      </c>
      <c r="F60" s="425">
        <f>'Bảng tính lương moi( THUE LD2)'!W49/2</f>
        <v>184525.24038461538</v>
      </c>
      <c r="G60" s="424">
        <f t="shared" si="7"/>
        <v>876832.93269230763</v>
      </c>
      <c r="H60" s="429"/>
      <c r="I60" s="429"/>
      <c r="J60" s="427">
        <v>11000000</v>
      </c>
      <c r="K60" s="426">
        <f t="shared" si="8"/>
        <v>0</v>
      </c>
      <c r="L60" s="427">
        <f>K60+J60+H60</f>
        <v>11000000</v>
      </c>
      <c r="M60" s="427">
        <f t="shared" si="9"/>
        <v>-10123167.067307692</v>
      </c>
      <c r="N60" s="458">
        <f>IF($A60="",0,IF(M60&lt;=0,0,IF(M60&lt;=5000000,M60*$P$3,IF(M60&lt;=10000000,$P$2*$P$3+(M60-$P$2)*$Q$3,IF(M60&lt;18000000,$P$2*$P$3+$P$2*$Q$3+(M60-$Q$2)*$R$3,IF(M60&lt;=32000000,$P$2*$P$3+$P$2*$Q$3+$R$2*$R$3+(M60-$S$2)*$S$3))))))</f>
        <v>0</v>
      </c>
      <c r="O60" s="435" t="s">
        <v>222</v>
      </c>
      <c r="P60" s="436"/>
      <c r="Q60" s="436"/>
      <c r="R60" s="436"/>
      <c r="S60" s="436"/>
      <c r="T60" s="436"/>
      <c r="U60" s="436"/>
    </row>
    <row r="61" spans="1:21" s="435" customFormat="1" ht="18" customHeight="1" x14ac:dyDescent="0.25">
      <c r="A61" s="442">
        <v>47</v>
      </c>
      <c r="B61" s="437" t="s">
        <v>145</v>
      </c>
      <c r="C61" s="437"/>
      <c r="D61" s="438" t="s">
        <v>83</v>
      </c>
      <c r="E61" s="428">
        <v>1558485.576923077</v>
      </c>
      <c r="F61" s="425">
        <f>'Bảng tính lương moi( THUE LD2)'!W50/2</f>
        <v>317704.32692307694</v>
      </c>
      <c r="G61" s="424">
        <f t="shared" si="7"/>
        <v>1240781.25</v>
      </c>
      <c r="H61" s="429"/>
      <c r="I61" s="429"/>
      <c r="J61" s="427">
        <v>11000000</v>
      </c>
      <c r="K61" s="426">
        <f t="shared" si="8"/>
        <v>0</v>
      </c>
      <c r="L61" s="427">
        <f>K61+J61+H61</f>
        <v>11000000</v>
      </c>
      <c r="M61" s="427">
        <f t="shared" si="9"/>
        <v>-9759218.75</v>
      </c>
      <c r="N61" s="458">
        <f>IF($A61="",0,IF(M61&lt;=0,0,IF(M61&lt;=5000000,M61*$P$3,IF(M61&lt;=10000000,$P$2*$P$3+(M61-$P$2)*$Q$3,IF(M61&lt;18000000,$P$2*$P$3+$P$2*$Q$3+(M61-$Q$2)*$R$3,IF(M61&lt;=32000000,$P$2*$P$3+$P$2*$Q$3+$R$2*$R$3+(M61-$S$2)*$S$3))))))</f>
        <v>0</v>
      </c>
      <c r="O61" s="435" t="s">
        <v>227</v>
      </c>
      <c r="P61" s="436"/>
      <c r="Q61" s="436"/>
      <c r="R61" s="436"/>
      <c r="S61" s="436"/>
      <c r="T61" s="436"/>
      <c r="U61" s="436"/>
    </row>
    <row r="62" spans="1:21" s="435" customFormat="1" ht="18" customHeight="1" x14ac:dyDescent="0.25">
      <c r="A62" s="442">
        <v>48</v>
      </c>
      <c r="B62" s="437" t="s">
        <v>146</v>
      </c>
      <c r="C62" s="437"/>
      <c r="D62" s="438" t="s">
        <v>84</v>
      </c>
      <c r="E62" s="428">
        <v>1558485.576923077</v>
      </c>
      <c r="F62" s="425">
        <f>'Bảng tính lương moi( THUE LD2)'!W51/2</f>
        <v>317704.32692307694</v>
      </c>
      <c r="G62" s="424">
        <f t="shared" si="7"/>
        <v>1240781.25</v>
      </c>
      <c r="H62" s="429"/>
      <c r="I62" s="429"/>
      <c r="J62" s="427">
        <v>11000000</v>
      </c>
      <c r="K62" s="426">
        <f t="shared" si="8"/>
        <v>0</v>
      </c>
      <c r="L62" s="427">
        <f>K62+J62+H62</f>
        <v>11000000</v>
      </c>
      <c r="M62" s="427">
        <f t="shared" si="9"/>
        <v>-9759218.75</v>
      </c>
      <c r="N62" s="458">
        <f>IF($A62="",0,IF(M62&lt;=0,0,IF(M62&lt;=5000000,M62*$P$3,IF(M62&lt;=10000000,$P$2*$P$3+(M62-$P$2)*$Q$3,IF(M62&lt;18000000,$P$2*$P$3+$P$2*$Q$3+(M62-$Q$2)*$R$3,IF(M62&lt;=32000000,$P$2*$P$3+$P$2*$Q$3+$R$2*$R$3+(M62-$S$2)*$S$3))))))</f>
        <v>0</v>
      </c>
      <c r="O62" s="435" t="s">
        <v>226</v>
      </c>
      <c r="P62" s="436"/>
      <c r="Q62" s="436"/>
      <c r="R62" s="436"/>
      <c r="S62" s="436"/>
      <c r="T62" s="436"/>
      <c r="U62" s="436"/>
    </row>
    <row r="63" spans="1:21" s="435" customFormat="1" ht="18" customHeight="1" x14ac:dyDescent="0.25">
      <c r="A63" s="442">
        <v>49</v>
      </c>
      <c r="B63" s="437" t="s">
        <v>147</v>
      </c>
      <c r="C63" s="437"/>
      <c r="D63" s="438" t="s">
        <v>85</v>
      </c>
      <c r="E63" s="428">
        <v>981129.80769230775</v>
      </c>
      <c r="F63" s="425">
        <f>'Bảng tính lương moi( THUE LD2)'!W52/2</f>
        <v>144411.05769230769</v>
      </c>
      <c r="G63" s="424">
        <f t="shared" si="7"/>
        <v>836718.75</v>
      </c>
      <c r="H63" s="429"/>
      <c r="I63" s="429"/>
      <c r="J63" s="427">
        <v>11000000</v>
      </c>
      <c r="K63" s="426">
        <f t="shared" si="8"/>
        <v>0</v>
      </c>
      <c r="L63" s="427">
        <f>K63+J63+H63</f>
        <v>11000000</v>
      </c>
      <c r="M63" s="427">
        <f t="shared" si="9"/>
        <v>-10163281.25</v>
      </c>
      <c r="N63" s="458">
        <f>IF($A63="",0,IF(M63&lt;=0,0,IF(M63&lt;=5000000,M63*$P$3,IF(M63&lt;=10000000,$P$2*$P$3+(M63-$P$2)*$Q$3,IF(M63&lt;18000000,$P$2*$P$3+$P$2*$Q$3+(M63-$Q$2)*$R$3,IF(M63&lt;=32000000,$P$2*$P$3+$P$2*$Q$3+$R$2*$R$3+(M63-$S$2)*$S$3))))))</f>
        <v>0</v>
      </c>
      <c r="O63" s="435" t="s">
        <v>225</v>
      </c>
      <c r="P63" s="436"/>
      <c r="Q63" s="436"/>
      <c r="R63" s="436"/>
      <c r="S63" s="436"/>
      <c r="T63" s="436"/>
      <c r="U63" s="436"/>
    </row>
    <row r="64" spans="1:21" s="435" customFormat="1" ht="18" customHeight="1" x14ac:dyDescent="0.25">
      <c r="A64" s="442">
        <v>50</v>
      </c>
      <c r="B64" s="437" t="s">
        <v>148</v>
      </c>
      <c r="C64" s="437"/>
      <c r="D64" s="438" t="s">
        <v>86</v>
      </c>
      <c r="E64" s="428">
        <v>997175.48076923087</v>
      </c>
      <c r="F64" s="425">
        <f>'Bảng tính lương moi( THUE LD2)'!W53/2</f>
        <v>152433.89423076922</v>
      </c>
      <c r="G64" s="424">
        <f t="shared" si="7"/>
        <v>844741.58653846162</v>
      </c>
      <c r="H64" s="429"/>
      <c r="I64" s="429"/>
      <c r="J64" s="427">
        <v>11000000</v>
      </c>
      <c r="K64" s="426">
        <f t="shared" si="8"/>
        <v>0</v>
      </c>
      <c r="L64" s="427">
        <f>K64+J64+H64</f>
        <v>11000000</v>
      </c>
      <c r="M64" s="427">
        <f t="shared" si="9"/>
        <v>-10155258.413461538</v>
      </c>
      <c r="N64" s="458">
        <f>IF($A64="",0,IF(M64&lt;=0,0,IF(M64&lt;=5000000,M64*$P$3,IF(M64&lt;=10000000,$P$2*$P$3+(M64-$P$2)*$Q$3,IF(M64&lt;18000000,$P$2*$P$3+$P$2*$Q$3+(M64-$Q$2)*$R$3,IF(M64&lt;=32000000,$P$2*$P$3+$P$2*$Q$3+$R$2*$R$3+(M64-$S$2)*$S$3))))))</f>
        <v>0</v>
      </c>
      <c r="P64" s="436"/>
      <c r="Q64" s="436"/>
      <c r="R64" s="436"/>
      <c r="S64" s="436"/>
      <c r="T64" s="436"/>
      <c r="U64" s="436"/>
    </row>
    <row r="65" spans="1:21" s="435" customFormat="1" ht="18" customHeight="1" x14ac:dyDescent="0.25">
      <c r="A65" s="442">
        <v>51</v>
      </c>
      <c r="B65" s="437" t="s">
        <v>149</v>
      </c>
      <c r="C65" s="437"/>
      <c r="D65" s="438" t="s">
        <v>87</v>
      </c>
      <c r="E65" s="428">
        <v>981129.80769230775</v>
      </c>
      <c r="F65" s="425">
        <f>'Bảng tính lương moi( THUE LD2)'!W54/2</f>
        <v>144411.05769230769</v>
      </c>
      <c r="G65" s="424">
        <f t="shared" si="7"/>
        <v>836718.75</v>
      </c>
      <c r="H65" s="429"/>
      <c r="I65" s="429"/>
      <c r="J65" s="427">
        <v>11000000</v>
      </c>
      <c r="K65" s="426">
        <f t="shared" si="8"/>
        <v>0</v>
      </c>
      <c r="L65" s="427">
        <f>K65+J65+H65</f>
        <v>11000000</v>
      </c>
      <c r="M65" s="427">
        <f t="shared" si="9"/>
        <v>-10163281.25</v>
      </c>
      <c r="N65" s="458">
        <f>IF($A65="",0,IF(M65&lt;=0,0,IF(M65&lt;=5000000,M65*$P$3,IF(M65&lt;=10000000,$P$2*$P$3+(M65-$P$2)*$Q$3,IF(M65&lt;18000000,$P$2*$P$3+$P$2*$Q$3+(M65-$Q$2)*$R$3,IF(M65&lt;=32000000,$P$2*$P$3+$P$2*$Q$3+$R$2*$R$3+(M65-$S$2)*$S$3))))))</f>
        <v>0</v>
      </c>
      <c r="O65" s="435" t="s">
        <v>224</v>
      </c>
      <c r="P65" s="436"/>
      <c r="Q65" s="436"/>
      <c r="R65" s="436"/>
      <c r="S65" s="436"/>
      <c r="T65" s="436"/>
      <c r="U65" s="436"/>
    </row>
    <row r="66" spans="1:21" s="33" customFormat="1" ht="18" customHeight="1" x14ac:dyDescent="0.25">
      <c r="A66" s="442">
        <v>52</v>
      </c>
      <c r="B66" s="418" t="s">
        <v>176</v>
      </c>
      <c r="C66" s="418"/>
      <c r="D66" s="418" t="s">
        <v>88</v>
      </c>
      <c r="E66" s="428">
        <v>2070793.269230769</v>
      </c>
      <c r="F66" s="425">
        <f>'Bảng tính lương moi( THUE LD2)'!W55/2</f>
        <v>112319.71153846155</v>
      </c>
      <c r="G66" s="424">
        <f t="shared" si="7"/>
        <v>1958473.5576923075</v>
      </c>
      <c r="H66" s="429"/>
      <c r="I66" s="429"/>
      <c r="J66" s="427">
        <v>11000000</v>
      </c>
      <c r="K66" s="426">
        <f t="shared" si="8"/>
        <v>0</v>
      </c>
      <c r="L66" s="427">
        <f>K66+J66+H66</f>
        <v>11000000</v>
      </c>
      <c r="M66" s="427">
        <f t="shared" si="9"/>
        <v>-9041526.442307692</v>
      </c>
      <c r="N66" s="458">
        <f>IF($A66="",0,IF(M66&lt;=0,0,IF(M66&lt;=5000000,M66*$P$3,IF(M66&lt;=10000000,$P$2*$P$3+(M66-$P$2)*$Q$3,IF(M66&lt;18000000,$P$2*$P$3+$P$2*$Q$3+(M66-$Q$2)*$R$3,IF(M66&lt;=32000000,$P$2*$P$3+$P$2*$Q$3+$R$2*$R$3+(M66-$S$2)*$S$3))))))</f>
        <v>0</v>
      </c>
      <c r="O66" s="33" t="s">
        <v>213</v>
      </c>
      <c r="P66" s="434"/>
      <c r="Q66" s="434"/>
      <c r="R66" s="434"/>
      <c r="S66" s="434"/>
      <c r="T66" s="434"/>
      <c r="U66" s="434"/>
    </row>
    <row r="67" spans="1:21" s="435" customFormat="1" ht="18" customHeight="1" x14ac:dyDescent="0.25">
      <c r="A67" s="442">
        <v>44</v>
      </c>
      <c r="B67" s="437" t="s">
        <v>142</v>
      </c>
      <c r="C67" s="437" t="s">
        <v>338</v>
      </c>
      <c r="D67" s="437" t="s">
        <v>80</v>
      </c>
      <c r="E67" s="428">
        <v>1131670.673076923</v>
      </c>
      <c r="F67" s="425">
        <f>'Bảng tính lương moi( THUE LD2)'!W56/2</f>
        <v>104296.875</v>
      </c>
      <c r="G67" s="424">
        <f t="shared" si="7"/>
        <v>1027373.798076923</v>
      </c>
      <c r="H67" s="429"/>
      <c r="I67" s="429"/>
      <c r="J67" s="427">
        <v>11000000</v>
      </c>
      <c r="K67" s="426">
        <f t="shared" si="8"/>
        <v>0</v>
      </c>
      <c r="L67" s="427">
        <f>K67+J67+H67</f>
        <v>11000000</v>
      </c>
      <c r="M67" s="427">
        <f t="shared" si="9"/>
        <v>-9972626.2019230761</v>
      </c>
      <c r="N67" s="458">
        <f>IF($A67="",0,IF(M67&lt;=0,0,IF(M67&lt;=5000000,M67*$P$3,IF(M67&lt;=10000000,$P$2*$P$3+(M67-$P$2)*$Q$3,IF(M67&lt;18000000,$P$2*$P$3+$P$2*$Q$3+(M67-$Q$2)*$R$3,IF(M67&lt;=32000000,$P$2*$P$3+$P$2*$Q$3+$R$2*$R$3+(M67-$S$2)*$S$3))))))</f>
        <v>0</v>
      </c>
      <c r="O67" s="435" t="s">
        <v>221</v>
      </c>
      <c r="P67" s="436"/>
      <c r="Q67" s="436"/>
      <c r="R67" s="436"/>
      <c r="S67" s="436"/>
      <c r="T67" s="436"/>
      <c r="U67" s="436"/>
    </row>
    <row r="68" spans="1:21" s="404" customFormat="1" ht="18" customHeight="1" x14ac:dyDescent="0.25">
      <c r="A68" s="442">
        <v>23</v>
      </c>
      <c r="B68" s="417" t="s">
        <v>121</v>
      </c>
      <c r="C68" s="417" t="s">
        <v>337</v>
      </c>
      <c r="D68" s="417" t="s">
        <v>61</v>
      </c>
      <c r="E68" s="428">
        <v>11000000</v>
      </c>
      <c r="F68" s="425">
        <f>'Bảng tính lương moi( THUE LD2)'!W57/2</f>
        <v>0</v>
      </c>
      <c r="G68" s="424">
        <f t="shared" si="7"/>
        <v>11000000</v>
      </c>
      <c r="H68" s="429"/>
      <c r="I68" s="429"/>
      <c r="J68" s="427">
        <v>11000000</v>
      </c>
      <c r="K68" s="426">
        <f t="shared" si="8"/>
        <v>0</v>
      </c>
      <c r="L68" s="427">
        <f>K68+J68+H68</f>
        <v>11000000</v>
      </c>
      <c r="M68" s="427">
        <f t="shared" si="9"/>
        <v>0</v>
      </c>
      <c r="N68" s="458">
        <f>IF($A68="",0,IF(M68&lt;=0,0,IF(M68&lt;=5000000,M68*$P$3,IF(M68&lt;=10000000,$P$2*$P$3+(M68-$P$2)*$Q$3,IF(M68&lt;18000000,$P$2*$P$3+$P$2*$Q$3+(M68-$Q$2)*$R$3,IF(M68&lt;=32000000,$P$2*$P$3+$P$2*$Q$3+$R$2*$R$3+(M68-$S$2)*$S$3))))))</f>
        <v>0</v>
      </c>
      <c r="P68" s="403"/>
      <c r="Q68" s="403"/>
      <c r="R68" s="403"/>
      <c r="S68" s="403"/>
      <c r="T68" s="403"/>
      <c r="U68" s="403"/>
    </row>
    <row r="69" spans="1:21" s="33" customFormat="1" ht="18" customHeight="1" thickBot="1" x14ac:dyDescent="0.3">
      <c r="A69" s="459">
        <v>53</v>
      </c>
      <c r="B69" s="460" t="s">
        <v>203</v>
      </c>
      <c r="C69" s="460" t="s">
        <v>336</v>
      </c>
      <c r="D69" s="460" t="s">
        <v>202</v>
      </c>
      <c r="E69" s="461">
        <v>6875000</v>
      </c>
      <c r="F69" s="462">
        <f>'Bảng tính lương moi( THUE LD2)'!W58/2</f>
        <v>0</v>
      </c>
      <c r="G69" s="463">
        <f t="shared" si="7"/>
        <v>6875000</v>
      </c>
      <c r="H69" s="464"/>
      <c r="I69" s="464"/>
      <c r="J69" s="465">
        <v>11000000</v>
      </c>
      <c r="K69" s="466">
        <f t="shared" si="8"/>
        <v>0</v>
      </c>
      <c r="L69" s="465">
        <f>K69+J69+H69</f>
        <v>11000000</v>
      </c>
      <c r="M69" s="465">
        <f t="shared" si="9"/>
        <v>-4125000</v>
      </c>
      <c r="N69" s="467">
        <f>IF($A69="",0,IF(M69&lt;=0,0,IF(M69&lt;=5000000,M69*$P$3,IF(M69&lt;=10000000,$P$2*$P$3+(M69-$P$2)*$Q$3,IF(M69&lt;18000000,$P$2*$P$3+$P$2*$Q$3+(M69-$Q$2)*$R$3,IF(M69&lt;=32000000,$P$2*$P$3+$P$2*$Q$3+$R$2*$R$3+(M69-$S$2)*$S$3))))))</f>
        <v>0</v>
      </c>
      <c r="O69" s="33" t="s">
        <v>232</v>
      </c>
      <c r="P69" s="434"/>
      <c r="Q69" s="434"/>
      <c r="R69" s="434"/>
      <c r="S69" s="434"/>
      <c r="T69" s="434"/>
      <c r="U69" s="434"/>
    </row>
    <row r="70" spans="1:21" ht="15.75" customHeight="1" thickBot="1" x14ac:dyDescent="0.25">
      <c r="A70" s="445" t="s">
        <v>355</v>
      </c>
      <c r="B70" s="446"/>
      <c r="C70" s="446"/>
      <c r="D70" s="447"/>
      <c r="E70" s="469">
        <f>SUBTOTAL(9,E6:E69)</f>
        <v>315614016.82692307</v>
      </c>
      <c r="F70" s="448">
        <f t="shared" ref="F70:N70" si="10">SUBTOTAL(9,F6:F69)</f>
        <v>28709124.028846148</v>
      </c>
      <c r="G70" s="468">
        <f t="shared" si="10"/>
        <v>286904892.79807711</v>
      </c>
      <c r="H70" s="448">
        <f t="shared" si="10"/>
        <v>0</v>
      </c>
      <c r="I70" s="448">
        <f t="shared" si="10"/>
        <v>4</v>
      </c>
      <c r="J70" s="448">
        <f t="shared" si="10"/>
        <v>671000000</v>
      </c>
      <c r="K70" s="448">
        <f t="shared" si="10"/>
        <v>17600000</v>
      </c>
      <c r="L70" s="448">
        <f t="shared" si="10"/>
        <v>688600000</v>
      </c>
      <c r="M70" s="448">
        <f t="shared" si="10"/>
        <v>-401695107.20192313</v>
      </c>
      <c r="N70" s="470">
        <f t="shared" si="10"/>
        <v>1439999.9884615385</v>
      </c>
    </row>
  </sheetData>
  <autoFilter ref="A5:P70" xr:uid="{E41ECA6C-14A6-46AA-A501-195E484D46A5}"/>
  <mergeCells count="15">
    <mergeCell ref="A70:D70"/>
    <mergeCell ref="O4:O5"/>
    <mergeCell ref="F4:F5"/>
    <mergeCell ref="G4:G5"/>
    <mergeCell ref="H4:H5"/>
    <mergeCell ref="A16:D16"/>
    <mergeCell ref="A6:D6"/>
    <mergeCell ref="L4:L5"/>
    <mergeCell ref="M4:M5"/>
    <mergeCell ref="N4:N5"/>
    <mergeCell ref="E4:E5"/>
    <mergeCell ref="I4:K4"/>
    <mergeCell ref="A4:A5"/>
    <mergeCell ref="B4:B5"/>
    <mergeCell ref="D4:D5"/>
  </mergeCells>
  <conditionalFormatting sqref="B20:C20">
    <cfRule type="duplicateValues" dxfId="7" priority="3"/>
  </conditionalFormatting>
  <conditionalFormatting sqref="B22:C22">
    <cfRule type="duplicateValues" dxfId="6" priority="4"/>
  </conditionalFormatting>
  <conditionalFormatting sqref="B23:C23">
    <cfRule type="duplicateValues" dxfId="5" priority="2"/>
  </conditionalFormatting>
  <conditionalFormatting sqref="B17:D69">
    <cfRule type="duplicateValues" dxfId="4" priority="5"/>
  </conditionalFormatting>
  <conditionalFormatting sqref="D12">
    <cfRule type="duplicateValues" dxfId="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B496-7C5E-4F7B-BC34-AE97B2118BE9}">
  <dimension ref="A1:L12"/>
  <sheetViews>
    <sheetView tabSelected="1" zoomScale="90" zoomScaleNormal="90" workbookViewId="0">
      <selection activeCell="H22" sqref="H21:H22"/>
    </sheetView>
  </sheetViews>
  <sheetFormatPr defaultColWidth="8.85546875" defaultRowHeight="15" x14ac:dyDescent="0.25"/>
  <cols>
    <col min="1" max="1" width="4.85546875" style="174" customWidth="1"/>
    <col min="2" max="2" width="25.42578125" style="170" customWidth="1"/>
    <col min="3" max="11" width="13.5703125" style="175" customWidth="1"/>
    <col min="12" max="12" width="28.5703125" style="175" customWidth="1"/>
    <col min="13" max="16384" width="8.85546875" style="170"/>
  </cols>
  <sheetData>
    <row r="1" spans="1:12" s="157" customFormat="1" ht="16.5" x14ac:dyDescent="0.25">
      <c r="A1" s="153" t="s">
        <v>316</v>
      </c>
      <c r="B1" s="154" t="s">
        <v>316</v>
      </c>
      <c r="C1" s="155"/>
      <c r="D1" s="155"/>
      <c r="E1" s="155"/>
      <c r="F1" s="155"/>
      <c r="G1" s="155"/>
      <c r="H1" s="155"/>
      <c r="I1" s="155"/>
      <c r="J1" s="155"/>
      <c r="K1" s="155"/>
      <c r="L1" s="156"/>
    </row>
    <row r="2" spans="1:12" s="157" customFormat="1" ht="29.45" customHeight="1" x14ac:dyDescent="0.35">
      <c r="A2" s="233" t="s">
        <v>332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156"/>
    </row>
    <row r="3" spans="1:12" s="157" customFormat="1" ht="34.5" x14ac:dyDescent="0.45">
      <c r="A3" s="158"/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56"/>
    </row>
    <row r="4" spans="1:12" s="165" customFormat="1" ht="47.25" x14ac:dyDescent="0.25">
      <c r="A4" s="161" t="s">
        <v>317</v>
      </c>
      <c r="B4" s="162" t="s">
        <v>318</v>
      </c>
      <c r="C4" s="163" t="s">
        <v>333</v>
      </c>
      <c r="D4" s="163" t="s">
        <v>256</v>
      </c>
      <c r="E4" s="163" t="s">
        <v>319</v>
      </c>
      <c r="F4" s="163" t="s">
        <v>320</v>
      </c>
      <c r="G4" s="163" t="s">
        <v>321</v>
      </c>
      <c r="H4" s="163" t="s">
        <v>322</v>
      </c>
      <c r="I4" s="163" t="s">
        <v>323</v>
      </c>
      <c r="J4" s="163" t="s">
        <v>324</v>
      </c>
      <c r="K4" s="163" t="s">
        <v>325</v>
      </c>
      <c r="L4" s="164" t="s">
        <v>326</v>
      </c>
    </row>
    <row r="5" spans="1:12" ht="21.75" customHeight="1" x14ac:dyDescent="0.25">
      <c r="A5" s="166">
        <v>2</v>
      </c>
      <c r="B5" s="167" t="s">
        <v>183</v>
      </c>
      <c r="C5" s="168">
        <f>'LƯƠNG TỔNG MOI'!G9</f>
        <v>20000000</v>
      </c>
      <c r="D5" s="168">
        <f>'LƯƠNG TỔNG MOI'!I9</f>
        <v>0</v>
      </c>
      <c r="E5" s="168">
        <f>'LƯƠNG TỔNG MOI'!J9</f>
        <v>0</v>
      </c>
      <c r="F5" s="168">
        <f>'LƯƠNG TỔNG MOI'!R9+'LƯƠNG TỔNG MOI'!S9</f>
        <v>0</v>
      </c>
      <c r="G5" s="168">
        <f>'LƯƠNG TỔNG MOI'!L9</f>
        <v>2</v>
      </c>
      <c r="H5" s="168">
        <f>'LƯƠNG TỔNG MOI'!O9</f>
        <v>19800000</v>
      </c>
      <c r="I5" s="168">
        <f>C5-H5</f>
        <v>200000</v>
      </c>
      <c r="J5" s="169">
        <f>'LƯƠNG TỔNG MOI'!Q9</f>
        <v>10000</v>
      </c>
      <c r="K5" s="168">
        <f>C5-D5-E5-F5</f>
        <v>20000000</v>
      </c>
      <c r="L5" s="177" t="s">
        <v>334</v>
      </c>
    </row>
    <row r="6" spans="1:12" ht="17.45" customHeight="1" x14ac:dyDescent="0.25">
      <c r="A6" s="166">
        <v>3</v>
      </c>
      <c r="B6" s="167" t="s">
        <v>260</v>
      </c>
      <c r="C6" s="168">
        <f>'LƯƠNG TỔNG MOI'!K9</f>
        <v>20000000</v>
      </c>
      <c r="D6" s="168">
        <f>'LƯƠNG TỔNG MOI'!I10</f>
        <v>0</v>
      </c>
      <c r="E6" s="168">
        <f>'LƯƠNG TỔNG MOI'!J10</f>
        <v>0</v>
      </c>
      <c r="F6" s="168">
        <f>'LƯƠNG TỔNG MOI'!R10+'LƯƠNG TỔNG MOI'!S10</f>
        <v>0</v>
      </c>
      <c r="G6" s="168">
        <f>'LƯƠNG TỔNG MOI'!L10</f>
        <v>2</v>
      </c>
      <c r="H6" s="168">
        <f>'LƯƠNG TỔNG MOI'!O10</f>
        <v>8800000</v>
      </c>
      <c r="I6" s="168">
        <f>C6-H6</f>
        <v>11200000</v>
      </c>
      <c r="J6" s="169">
        <f>'LƯƠNG TỔNG MOI'!Q10</f>
        <v>930000</v>
      </c>
      <c r="K6" s="168">
        <f>C6-D6-E6-F6</f>
        <v>20000000</v>
      </c>
      <c r="L6" s="171" t="s">
        <v>327</v>
      </c>
    </row>
    <row r="7" spans="1:12" ht="17.45" customHeight="1" x14ac:dyDescent="0.25">
      <c r="A7" s="166">
        <v>4</v>
      </c>
      <c r="B7" s="167" t="s">
        <v>262</v>
      </c>
      <c r="C7" s="168">
        <f>'LƯƠNG TỔNG MOI'!G11</f>
        <v>15000000</v>
      </c>
      <c r="D7" s="168">
        <f>'LƯƠNG TỔNG MOI'!I11</f>
        <v>0</v>
      </c>
      <c r="E7" s="168">
        <f>'LƯƠNG TỔNG MOI'!J11</f>
        <v>0</v>
      </c>
      <c r="F7" s="168">
        <f>'LƯƠNG TỔNG MOI'!R11+'LƯƠNG TỔNG MOI'!S11</f>
        <v>0</v>
      </c>
      <c r="G7" s="168">
        <f>'LƯƠNG TỔNG MOI'!L11</f>
        <v>0</v>
      </c>
      <c r="H7" s="168">
        <f>'LƯƠNG TỔNG MOI'!O11</f>
        <v>11000000</v>
      </c>
      <c r="I7" s="168">
        <f>C7-H7</f>
        <v>4000000</v>
      </c>
      <c r="J7" s="169">
        <f>'LƯƠNG TỔNG MOI'!Q11</f>
        <v>200000</v>
      </c>
      <c r="K7" s="168">
        <f>C7-D7-E7-F7</f>
        <v>15000000</v>
      </c>
      <c r="L7" s="234" t="s">
        <v>334</v>
      </c>
    </row>
    <row r="8" spans="1:12" ht="17.45" customHeight="1" x14ac:dyDescent="0.25">
      <c r="A8" s="166">
        <v>5</v>
      </c>
      <c r="B8" s="167" t="s">
        <v>264</v>
      </c>
      <c r="C8" s="168">
        <f>'LƯƠNG TỔNG MOI'!K12</f>
        <v>15000000</v>
      </c>
      <c r="D8" s="168">
        <f>'LƯƠNG TỔNG MOI'!I12</f>
        <v>0</v>
      </c>
      <c r="E8" s="168">
        <f>'LƯƠNG TỔNG MOI'!J12</f>
        <v>0</v>
      </c>
      <c r="F8" s="168">
        <f>'LƯƠNG TỔNG MOI'!R12+'LƯƠNG TỔNG MOI'!S12</f>
        <v>0</v>
      </c>
      <c r="G8" s="168">
        <f>'LƯƠNG TỔNG MOI'!L12</f>
        <v>0</v>
      </c>
      <c r="H8" s="168">
        <f>'LƯƠNG TỔNG MOI'!O12</f>
        <v>11000000</v>
      </c>
      <c r="I8" s="168">
        <f>C8-H8</f>
        <v>4000000</v>
      </c>
      <c r="J8" s="169">
        <f>'LƯƠNG TỔNG MOI'!Q12</f>
        <v>200000</v>
      </c>
      <c r="K8" s="168">
        <f>C8-D8-E8-F8</f>
        <v>15000000</v>
      </c>
      <c r="L8" s="234"/>
    </row>
    <row r="9" spans="1:12" ht="17.45" customHeight="1" x14ac:dyDescent="0.25">
      <c r="A9" s="235" t="s">
        <v>328</v>
      </c>
      <c r="B9" s="235"/>
      <c r="C9" s="172">
        <f t="shared" ref="C9:K9" si="0">SUBTOTAL(9,C5:C8)</f>
        <v>70000000</v>
      </c>
      <c r="D9" s="172">
        <f t="shared" si="0"/>
        <v>0</v>
      </c>
      <c r="E9" s="172">
        <f t="shared" si="0"/>
        <v>0</v>
      </c>
      <c r="F9" s="172">
        <f t="shared" si="0"/>
        <v>0</v>
      </c>
      <c r="G9" s="172">
        <f t="shared" si="0"/>
        <v>4</v>
      </c>
      <c r="H9" s="172">
        <f t="shared" si="0"/>
        <v>50600000</v>
      </c>
      <c r="I9" s="172">
        <f t="shared" si="0"/>
        <v>19400000</v>
      </c>
      <c r="J9" s="172">
        <f t="shared" si="0"/>
        <v>1340000</v>
      </c>
      <c r="K9" s="172">
        <f t="shared" si="0"/>
        <v>70000000</v>
      </c>
    </row>
    <row r="10" spans="1:12" ht="17.45" customHeight="1" x14ac:dyDescent="0.25">
      <c r="A10" s="166">
        <v>8</v>
      </c>
      <c r="B10" s="167" t="s">
        <v>329</v>
      </c>
      <c r="C10" s="168">
        <f>'LƯƠNG TỔNG MOI'!K13</f>
        <v>13894230.769230768</v>
      </c>
      <c r="D10" s="168">
        <f>'LƯƠNG TỔNG MOI'!I13</f>
        <v>0</v>
      </c>
      <c r="E10" s="168">
        <f>'LƯƠNG TỔNG MOI'!J14</f>
        <v>0</v>
      </c>
      <c r="F10" s="168">
        <f>'LƯƠNG TỔNG MOI'!R14+'LƯƠNG TỔNG MOI'!S14</f>
        <v>0</v>
      </c>
      <c r="G10" s="168">
        <f>'LƯƠNG TỔNG MOI'!L14</f>
        <v>0</v>
      </c>
      <c r="H10" s="168">
        <f>'LƯƠNG TỔNG MOI'!O14</f>
        <v>11000000</v>
      </c>
      <c r="I10" s="168">
        <f>C10-H10</f>
        <v>2894230.7692307681</v>
      </c>
      <c r="J10" s="169">
        <f>'LƯƠNG TỔNG MOI'!Q13</f>
        <v>99999.988461538407</v>
      </c>
      <c r="K10" s="168">
        <f t="shared" ref="K10" si="1">C10-D10-E10-F10</f>
        <v>13894230.769230768</v>
      </c>
      <c r="L10" s="177" t="s">
        <v>334</v>
      </c>
    </row>
    <row r="11" spans="1:12" ht="17.45" customHeight="1" x14ac:dyDescent="0.25">
      <c r="A11" s="235" t="s">
        <v>330</v>
      </c>
      <c r="B11" s="235"/>
      <c r="C11" s="172">
        <f t="shared" ref="C11:K11" si="2">SUBTOTAL(9,C10:C10)</f>
        <v>13894230.769230768</v>
      </c>
      <c r="D11" s="172">
        <f t="shared" si="2"/>
        <v>0</v>
      </c>
      <c r="E11" s="172">
        <f t="shared" si="2"/>
        <v>0</v>
      </c>
      <c r="F11" s="172">
        <f t="shared" si="2"/>
        <v>0</v>
      </c>
      <c r="G11" s="172">
        <f t="shared" si="2"/>
        <v>0</v>
      </c>
      <c r="H11" s="172">
        <f t="shared" si="2"/>
        <v>11000000</v>
      </c>
      <c r="I11" s="172">
        <f t="shared" si="2"/>
        <v>2894230.7692307681</v>
      </c>
      <c r="J11" s="172">
        <f t="shared" si="2"/>
        <v>99999.988461538407</v>
      </c>
      <c r="K11" s="172">
        <f t="shared" si="2"/>
        <v>13894230.769230768</v>
      </c>
      <c r="L11" s="177"/>
    </row>
    <row r="12" spans="1:12" ht="17.45" customHeight="1" x14ac:dyDescent="0.25">
      <c r="A12" s="232" t="s">
        <v>331</v>
      </c>
      <c r="B12" s="232"/>
      <c r="C12" s="173">
        <f>SUBTOTAL(9,C5:C11)</f>
        <v>83894230.769230768</v>
      </c>
      <c r="D12" s="173">
        <f t="shared" ref="C12:K12" si="3">SUBTOTAL(9,D5:D11)</f>
        <v>0</v>
      </c>
      <c r="E12" s="173">
        <f t="shared" si="3"/>
        <v>0</v>
      </c>
      <c r="F12" s="173">
        <f t="shared" si="3"/>
        <v>0</v>
      </c>
      <c r="G12" s="173">
        <f t="shared" si="3"/>
        <v>4</v>
      </c>
      <c r="H12" s="173">
        <f t="shared" si="3"/>
        <v>61600000</v>
      </c>
      <c r="I12" s="471">
        <f t="shared" si="3"/>
        <v>22294230.769230768</v>
      </c>
      <c r="J12" s="471">
        <f t="shared" si="3"/>
        <v>1439999.9884615385</v>
      </c>
      <c r="K12" s="173">
        <f t="shared" si="3"/>
        <v>83894230.769230768</v>
      </c>
      <c r="L12" s="176"/>
    </row>
  </sheetData>
  <mergeCells count="5">
    <mergeCell ref="A12:B12"/>
    <mergeCell ref="A2:K2"/>
    <mergeCell ref="L7:L8"/>
    <mergeCell ref="A9:B9"/>
    <mergeCell ref="A11:B11"/>
  </mergeCells>
  <conditionalFormatting sqref="B1:B4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Chi tiết tăng ca</vt:lpstr>
      <vt:lpstr>Ngày công</vt:lpstr>
      <vt:lpstr>Bảng tính lương </vt:lpstr>
      <vt:lpstr>LƯƠNG TỔNG</vt:lpstr>
      <vt:lpstr>Bảng tính lương moi( THUE LD2)</vt:lpstr>
      <vt:lpstr>Thuê LD 1</vt:lpstr>
      <vt:lpstr>LƯƠNG TỔNG MOI</vt:lpstr>
      <vt:lpstr>TNCN</vt:lpstr>
      <vt:lpstr>Thuế TNCN 2.24</vt:lpstr>
      <vt:lpstr>Phiếu lương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</cp:lastModifiedBy>
  <dcterms:created xsi:type="dcterms:W3CDTF">2024-03-04T07:42:23Z</dcterms:created>
  <dcterms:modified xsi:type="dcterms:W3CDTF">2024-04-12T02:44:01Z</dcterms:modified>
</cp:coreProperties>
</file>