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A Thuong\bảng luong 2024\"/>
    </mc:Choice>
  </mc:AlternateContent>
  <xr:revisionPtr revIDLastSave="0" documentId="8_{486E1F91-5FFA-4420-826C-6C7CA1D831E3}" xr6:coauthVersionLast="47" xr6:coauthVersionMax="47" xr10:uidLastSave="{00000000-0000-0000-0000-000000000000}"/>
  <bookViews>
    <workbookView xWindow="-120" yWindow="-120" windowWidth="29040" windowHeight="15840" tabRatio="807" activeTab="7" xr2:uid="{00000000-000D-0000-FFFF-FFFF00000000}"/>
  </bookViews>
  <sheets>
    <sheet name="DANH SÁCH" sheetId="2" r:id="rId1"/>
    <sheet name="BẢNG CHẤM CÔNG T3" sheetId="1" r:id="rId2"/>
    <sheet name="SẢN XUẤT cũ" sheetId="5" r:id="rId3"/>
    <sheet name="BẢNG LƯƠNG TỔNG" sheetId="12" r:id="rId4"/>
    <sheet name="Thuê LD" sheetId="20" r:id="rId5"/>
    <sheet name="SẢN XUẤTmới" sheetId="13" r:id="rId6"/>
    <sheet name="VĂN PHÒNG" sheetId="7" r:id="rId7"/>
    <sheet name="BẢNG LƯƠNG TỔNG mới" sheetId="15" r:id="rId8"/>
    <sheet name="TNCN" sheetId="18" r:id="rId9"/>
    <sheet name="THUE TNCN" sheetId="19" r:id="rId10"/>
    <sheet name="PHIẾU LƯƠNG" sheetId="10" state="hidden" r:id="rId11"/>
  </sheets>
  <externalReferences>
    <externalReference r:id="rId12"/>
  </externalReferences>
  <definedNames>
    <definedName name="_xlnm._FilterDatabase" localSheetId="1" hidden="1">'BẢNG CHẤM CÔNG T3'!$A$7:$DR$106</definedName>
    <definedName name="_xlnm._FilterDatabase" localSheetId="0" hidden="1">'DANH SÁCH'!$C$5:$AC$78</definedName>
    <definedName name="_xlnm._FilterDatabase" localSheetId="2" hidden="1">'SẢN XUẤT cũ'!$A$6:$AN$96</definedName>
    <definedName name="_xlnm._FilterDatabase" localSheetId="5" hidden="1">'SẢN XUẤTmới'!$A$2:$AV$96</definedName>
    <definedName name="_xlnm._FilterDatabase" localSheetId="8" hidden="1">TNCN!$A$2:$D$112</definedName>
    <definedName name="_xlnm._FilterDatabase" localSheetId="9" hidden="1">'THUE TNCN'!$A$7:$BU$20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2" l="1"/>
  <c r="F20" i="19"/>
  <c r="AH57" i="13" l="1"/>
  <c r="BG46" i="20" l="1"/>
  <c r="BF46" i="20"/>
  <c r="BD46" i="20"/>
  <c r="BC46" i="20"/>
  <c r="AW44" i="20"/>
  <c r="BB44" i="20" s="1"/>
  <c r="AU44" i="20"/>
  <c r="BA44" i="20" s="1"/>
  <c r="AW42" i="20"/>
  <c r="BB42" i="20" s="1"/>
  <c r="AU42" i="20"/>
  <c r="BA42" i="20" s="1"/>
  <c r="AW40" i="20"/>
  <c r="BB40" i="20" s="1"/>
  <c r="AU40" i="20"/>
  <c r="BA40" i="20" s="1"/>
  <c r="BA38" i="20"/>
  <c r="AW38" i="20"/>
  <c r="BB38" i="20" s="1"/>
  <c r="BB36" i="20"/>
  <c r="BA36" i="20"/>
  <c r="AW36" i="20"/>
  <c r="AU36" i="20"/>
  <c r="BA34" i="20"/>
  <c r="AW34" i="20"/>
  <c r="BB34" i="20" s="1"/>
  <c r="AW32" i="20"/>
  <c r="BB32" i="20" s="1"/>
  <c r="AU32" i="20"/>
  <c r="BA32" i="20" s="1"/>
  <c r="AW30" i="20"/>
  <c r="BB30" i="20" s="1"/>
  <c r="AU30" i="20"/>
  <c r="BA30" i="20" s="1"/>
  <c r="AW28" i="20"/>
  <c r="BB28" i="20" s="1"/>
  <c r="AU28" i="20"/>
  <c r="BA28" i="20" s="1"/>
  <c r="BB26" i="20"/>
  <c r="AW26" i="20"/>
  <c r="AU26" i="20"/>
  <c r="BA26" i="20" s="1"/>
  <c r="BB24" i="20"/>
  <c r="AW24" i="20"/>
  <c r="AU24" i="20"/>
  <c r="BA24" i="20" s="1"/>
  <c r="AW22" i="20"/>
  <c r="BB22" i="20" s="1"/>
  <c r="AU22" i="20"/>
  <c r="AW20" i="20"/>
  <c r="BB20" i="20" s="1"/>
  <c r="AU20" i="20"/>
  <c r="BA20" i="20" s="1"/>
  <c r="AW18" i="20"/>
  <c r="BB18" i="20" s="1"/>
  <c r="AU18" i="20"/>
  <c r="BA18" i="20" s="1"/>
  <c r="AW16" i="20"/>
  <c r="BB16" i="20" s="1"/>
  <c r="AU16" i="20"/>
  <c r="BA16" i="20" s="1"/>
  <c r="BA14" i="20"/>
  <c r="AW14" i="20"/>
  <c r="BB14" i="20" s="1"/>
  <c r="AU14" i="20"/>
  <c r="BA12" i="20"/>
  <c r="AW12" i="20"/>
  <c r="BB12" i="20" s="1"/>
  <c r="AU12" i="20"/>
  <c r="BA10" i="20"/>
  <c r="AW10" i="20"/>
  <c r="BB10" i="20" s="1"/>
  <c r="AU10" i="20"/>
  <c r="AW8" i="20"/>
  <c r="BB8" i="20" s="1"/>
  <c r="AU8" i="20"/>
  <c r="BA8" i="20" s="1"/>
  <c r="AW6" i="20"/>
  <c r="AW46" i="20" s="1"/>
  <c r="AU6" i="20"/>
  <c r="BA6" i="20" s="1"/>
  <c r="N4" i="20"/>
  <c r="O4" i="20" s="1"/>
  <c r="BA46" i="20" l="1"/>
  <c r="O5" i="20"/>
  <c r="P4" i="20"/>
  <c r="N5" i="20"/>
  <c r="AU46" i="20"/>
  <c r="M4" i="20"/>
  <c r="BB6" i="20"/>
  <c r="BB46" i="20" s="1"/>
  <c r="Q4" i="20" l="1"/>
  <c r="P5" i="20"/>
  <c r="M5" i="20"/>
  <c r="L4" i="20"/>
  <c r="K4" i="20" l="1"/>
  <c r="L5" i="20"/>
  <c r="Q5" i="20"/>
  <c r="R4" i="20"/>
  <c r="R5" i="20" l="1"/>
  <c r="S4" i="20"/>
  <c r="J4" i="20"/>
  <c r="K5" i="20"/>
  <c r="I4" i="20" l="1"/>
  <c r="J5" i="20"/>
  <c r="T4" i="20"/>
  <c r="S5" i="20"/>
  <c r="U4" i="20" l="1"/>
  <c r="T5" i="20"/>
  <c r="H4" i="20"/>
  <c r="H5" i="20" s="1"/>
  <c r="I5" i="20"/>
  <c r="U5" i="20" l="1"/>
  <c r="V4" i="20"/>
  <c r="W4" i="20" l="1"/>
  <c r="V5" i="20"/>
  <c r="W5" i="20" l="1"/>
  <c r="X4" i="20"/>
  <c r="X5" i="20" l="1"/>
  <c r="Y4" i="20"/>
  <c r="Y5" i="20" l="1"/>
  <c r="Z4" i="20"/>
  <c r="Z5" i="20" l="1"/>
  <c r="AA4" i="20"/>
  <c r="AA5" i="20" l="1"/>
  <c r="AB4" i="20"/>
  <c r="AB5" i="20" l="1"/>
  <c r="AC4" i="20"/>
  <c r="AC5" i="20" l="1"/>
  <c r="AD4" i="20"/>
  <c r="AD5" i="20" l="1"/>
  <c r="AE4" i="20"/>
  <c r="AF4" i="20" l="1"/>
  <c r="AE5" i="20"/>
  <c r="AG4" i="20" l="1"/>
  <c r="AF5" i="20"/>
  <c r="AG5" i="20" l="1"/>
  <c r="AH4" i="20"/>
  <c r="AI4" i="20" l="1"/>
  <c r="AH5" i="20"/>
  <c r="AI5" i="20" l="1"/>
  <c r="AJ4" i="20"/>
  <c r="AJ5" i="20" l="1"/>
  <c r="AK4" i="20"/>
  <c r="AK5" i="20" l="1"/>
  <c r="AL4" i="20"/>
  <c r="AL5" i="20" l="1"/>
  <c r="AM4" i="20"/>
  <c r="AM5" i="20" l="1"/>
  <c r="AN4" i="20"/>
  <c r="AN5" i="20" l="1"/>
  <c r="AO4" i="20"/>
  <c r="AP4" i="20" l="1"/>
  <c r="AO5" i="20"/>
  <c r="AP5" i="20" l="1"/>
  <c r="AQ4" i="20"/>
  <c r="AR4" i="20" l="1"/>
  <c r="AQ5" i="20"/>
  <c r="AS4" i="20" l="1"/>
  <c r="AR5" i="20"/>
  <c r="AS5" i="20" l="1"/>
  <c r="AT4" i="20"/>
  <c r="AX20" i="20" l="1"/>
  <c r="AY26" i="20"/>
  <c r="BE26" i="20" s="1"/>
  <c r="BH26" i="20" s="1"/>
  <c r="AV24" i="20"/>
  <c r="AY30" i="20"/>
  <c r="BE30" i="20" s="1"/>
  <c r="BH30" i="20" s="1"/>
  <c r="AZ8" i="20"/>
  <c r="AZ10" i="20"/>
  <c r="AY44" i="20"/>
  <c r="BE44" i="20" s="1"/>
  <c r="BH44" i="20" s="1"/>
  <c r="AV12" i="20"/>
  <c r="AZ32" i="20"/>
  <c r="AY32" i="20"/>
  <c r="BE32" i="20" s="1"/>
  <c r="BH32" i="20" s="1"/>
  <c r="AX44" i="20"/>
  <c r="AZ26" i="20"/>
  <c r="AV8" i="20"/>
  <c r="AV40" i="20"/>
  <c r="AV30" i="20"/>
  <c r="AX22" i="20"/>
  <c r="AX38" i="20"/>
  <c r="AY22" i="20"/>
  <c r="BE22" i="20" s="1"/>
  <c r="BH22" i="20" s="1"/>
  <c r="AX8" i="20"/>
  <c r="AX6" i="20"/>
  <c r="AX14" i="20"/>
  <c r="AV20" i="20"/>
  <c r="AV26" i="20"/>
  <c r="AV22" i="20"/>
  <c r="AY14" i="20"/>
  <c r="BE14" i="20" s="1"/>
  <c r="BH14" i="20" s="1"/>
  <c r="AX10" i="20"/>
  <c r="AZ40" i="20"/>
  <c r="AZ30" i="20"/>
  <c r="AX18" i="20"/>
  <c r="AZ36" i="20"/>
  <c r="AZ18" i="20"/>
  <c r="AZ28" i="20"/>
  <c r="AX34" i="20"/>
  <c r="AZ12" i="20"/>
  <c r="AY40" i="20"/>
  <c r="BE40" i="20" s="1"/>
  <c r="BH40" i="20" s="1"/>
  <c r="AV18" i="20"/>
  <c r="AZ6" i="20"/>
  <c r="AV34" i="20"/>
  <c r="AV36" i="20"/>
  <c r="AY38" i="20"/>
  <c r="BE38" i="20" s="1"/>
  <c r="BH38" i="20" s="1"/>
  <c r="AZ24" i="20"/>
  <c r="AY18" i="20"/>
  <c r="BE18" i="20" s="1"/>
  <c r="BH18" i="20" s="1"/>
  <c r="AY6" i="20"/>
  <c r="AZ22" i="20"/>
  <c r="AZ44" i="20"/>
  <c r="AY8" i="20"/>
  <c r="BE8" i="20" s="1"/>
  <c r="BH8" i="20" s="1"/>
  <c r="AY16" i="20"/>
  <c r="BE16" i="20" s="1"/>
  <c r="BH16" i="20" s="1"/>
  <c r="AY42" i="20"/>
  <c r="BE42" i="20" s="1"/>
  <c r="BH42" i="20" s="1"/>
  <c r="AX24" i="20"/>
  <c r="AV16" i="20"/>
  <c r="AZ42" i="20"/>
  <c r="AX16" i="20"/>
  <c r="AV32" i="20"/>
  <c r="AY36" i="20"/>
  <c r="BE36" i="20" s="1"/>
  <c r="BH36" i="20" s="1"/>
  <c r="AY28" i="20"/>
  <c r="BE28" i="20" s="1"/>
  <c r="BH28" i="20" s="1"/>
  <c r="AV10" i="20"/>
  <c r="AV38" i="20"/>
  <c r="AX42" i="20"/>
  <c r="AX30" i="20"/>
  <c r="AZ38" i="20"/>
  <c r="AV14" i="20"/>
  <c r="AY24" i="20"/>
  <c r="BE24" i="20" s="1"/>
  <c r="BH24" i="20" s="1"/>
  <c r="AZ20" i="20"/>
  <c r="AX36" i="20"/>
  <c r="AY20" i="20"/>
  <c r="BE20" i="20" s="1"/>
  <c r="BH20" i="20" s="1"/>
  <c r="AZ14" i="20"/>
  <c r="AY34" i="20"/>
  <c r="BE34" i="20" s="1"/>
  <c r="BH34" i="20" s="1"/>
  <c r="AY12" i="20"/>
  <c r="BE12" i="20" s="1"/>
  <c r="BH12" i="20" s="1"/>
  <c r="AV28" i="20"/>
  <c r="AV42" i="20"/>
  <c r="AX32" i="20"/>
  <c r="AV6" i="20"/>
  <c r="AX28" i="20"/>
  <c r="AZ16" i="20"/>
  <c r="AX26" i="20"/>
  <c r="AV44" i="20"/>
  <c r="AY10" i="20"/>
  <c r="BE10" i="20" s="1"/>
  <c r="BH10" i="20" s="1"/>
  <c r="AZ34" i="20"/>
  <c r="AX12" i="20"/>
  <c r="AX40" i="20"/>
  <c r="AV46" i="20" l="1"/>
  <c r="AX46" i="20"/>
  <c r="BE6" i="20"/>
  <c r="AY46" i="20"/>
  <c r="AZ46" i="20"/>
  <c r="BE46" i="20" l="1"/>
  <c r="BH6" i="20"/>
  <c r="BH46" i="20" s="1"/>
  <c r="BH47" i="20" l="1"/>
  <c r="BH48" i="20" s="1"/>
  <c r="R16" i="15" l="1"/>
  <c r="I19" i="19"/>
  <c r="K19" i="19" s="1"/>
  <c r="J18" i="19"/>
  <c r="H18" i="19"/>
  <c r="G18" i="19"/>
  <c r="I17" i="19"/>
  <c r="K17" i="19" s="1"/>
  <c r="I16" i="19"/>
  <c r="K16" i="19" s="1"/>
  <c r="J15" i="19"/>
  <c r="H15" i="19"/>
  <c r="G15" i="19"/>
  <c r="H14" i="19"/>
  <c r="I14" i="19" s="1"/>
  <c r="G14" i="19"/>
  <c r="J13" i="19"/>
  <c r="H12" i="19"/>
  <c r="I12" i="19" s="1"/>
  <c r="K12" i="19" s="1"/>
  <c r="D12" i="19"/>
  <c r="F12" i="19" s="1"/>
  <c r="H11" i="19"/>
  <c r="I11" i="19" s="1"/>
  <c r="K11" i="19" s="1"/>
  <c r="D11" i="19"/>
  <c r="F11" i="19" s="1"/>
  <c r="H10" i="19"/>
  <c r="I10" i="19" s="1"/>
  <c r="K10" i="19" s="1"/>
  <c r="D10" i="19"/>
  <c r="F10" i="19" s="1"/>
  <c r="H9" i="19"/>
  <c r="I9" i="19" s="1"/>
  <c r="K9" i="19" s="1"/>
  <c r="D9" i="19"/>
  <c r="F9" i="19" s="1"/>
  <c r="J8" i="19"/>
  <c r="G8" i="19"/>
  <c r="E8" i="19"/>
  <c r="K109" i="18"/>
  <c r="J109" i="18"/>
  <c r="I109" i="18"/>
  <c r="H109" i="18"/>
  <c r="G109" i="18"/>
  <c r="K105" i="18"/>
  <c r="J105" i="18"/>
  <c r="I105" i="18"/>
  <c r="H105" i="18"/>
  <c r="G105" i="18"/>
  <c r="K61" i="18"/>
  <c r="J61" i="18"/>
  <c r="I61" i="18"/>
  <c r="H61" i="18"/>
  <c r="G61" i="18"/>
  <c r="K55" i="18"/>
  <c r="J55" i="18"/>
  <c r="J113" i="18" s="1"/>
  <c r="I55" i="18"/>
  <c r="H55" i="18"/>
  <c r="G55" i="18"/>
  <c r="J14" i="18"/>
  <c r="H14" i="18"/>
  <c r="E102" i="18"/>
  <c r="E103" i="18"/>
  <c r="AN86" i="13"/>
  <c r="AN87" i="13"/>
  <c r="I113" i="18"/>
  <c r="H113" i="18"/>
  <c r="G113" i="18"/>
  <c r="K24" i="18"/>
  <c r="J24" i="18"/>
  <c r="I24" i="18"/>
  <c r="H24" i="18"/>
  <c r="G24" i="18"/>
  <c r="D102" i="18"/>
  <c r="D103" i="18"/>
  <c r="A64" i="18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63" i="18"/>
  <c r="A58" i="18"/>
  <c r="A59" i="18" s="1"/>
  <c r="A60" i="18" s="1"/>
  <c r="A57" i="18"/>
  <c r="A28" i="18"/>
  <c r="A29" i="18"/>
  <c r="A30" i="18"/>
  <c r="A31" i="18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27" i="18"/>
  <c r="A18" i="18"/>
  <c r="A19" i="18" s="1"/>
  <c r="A20" i="18" s="1"/>
  <c r="A21" i="18" s="1"/>
  <c r="A22" i="18" s="1"/>
  <c r="A23" i="18" s="1"/>
  <c r="A17" i="18"/>
  <c r="A16" i="18"/>
  <c r="H23" i="18"/>
  <c r="I23" i="18" s="1"/>
  <c r="H22" i="18"/>
  <c r="I22" i="18" s="1"/>
  <c r="H21" i="18"/>
  <c r="I21" i="18" s="1"/>
  <c r="H20" i="18"/>
  <c r="I20" i="18" s="1"/>
  <c r="H19" i="18"/>
  <c r="H18" i="18"/>
  <c r="I18" i="18" s="1"/>
  <c r="H17" i="18"/>
  <c r="I17" i="18" s="1"/>
  <c r="K17" i="18" s="1"/>
  <c r="H16" i="18"/>
  <c r="I16" i="18" s="1"/>
  <c r="H15" i="18"/>
  <c r="I15" i="18" s="1"/>
  <c r="I14" i="18" s="1"/>
  <c r="G23" i="18"/>
  <c r="G22" i="18"/>
  <c r="G14" i="18" s="1"/>
  <c r="G21" i="18"/>
  <c r="G20" i="18"/>
  <c r="G19" i="18"/>
  <c r="G18" i="18"/>
  <c r="G17" i="18"/>
  <c r="G16" i="18"/>
  <c r="G15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6" i="18"/>
  <c r="K57" i="18"/>
  <c r="K58" i="18"/>
  <c r="K59" i="18"/>
  <c r="K60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6" i="18"/>
  <c r="K107" i="18"/>
  <c r="K108" i="18"/>
  <c r="K110" i="18"/>
  <c r="K111" i="18"/>
  <c r="K112" i="18"/>
  <c r="I19" i="18"/>
  <c r="K19" i="18" s="1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6" i="18"/>
  <c r="I57" i="18"/>
  <c r="I58" i="18"/>
  <c r="I59" i="18"/>
  <c r="I60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6" i="18"/>
  <c r="I107" i="18"/>
  <c r="I108" i="18"/>
  <c r="I110" i="18"/>
  <c r="I111" i="18"/>
  <c r="I112" i="18"/>
  <c r="I9" i="18"/>
  <c r="K9" i="18" s="1"/>
  <c r="H13" i="18"/>
  <c r="I13" i="18" s="1"/>
  <c r="H12" i="18"/>
  <c r="I12" i="18" s="1"/>
  <c r="K12" i="18" s="1"/>
  <c r="H11" i="18"/>
  <c r="I11" i="18" s="1"/>
  <c r="K11" i="18" s="1"/>
  <c r="H10" i="18"/>
  <c r="I10" i="18" s="1"/>
  <c r="K10" i="18" s="1"/>
  <c r="H9" i="18"/>
  <c r="F9" i="18"/>
  <c r="L9" i="18" s="1"/>
  <c r="M9" i="18" s="1"/>
  <c r="J8" i="18"/>
  <c r="G8" i="18"/>
  <c r="E8" i="18"/>
  <c r="D13" i="18"/>
  <c r="F13" i="18" s="1"/>
  <c r="D12" i="18"/>
  <c r="F12" i="18" s="1"/>
  <c r="D11" i="18"/>
  <c r="F11" i="18" s="1"/>
  <c r="D10" i="18"/>
  <c r="F10" i="18" s="1"/>
  <c r="D9" i="18"/>
  <c r="R13" i="15"/>
  <c r="R12" i="15"/>
  <c r="R9" i="15"/>
  <c r="R10" i="15"/>
  <c r="R11" i="15"/>
  <c r="L11" i="18" l="1"/>
  <c r="L10" i="19"/>
  <c r="M10" i="19" s="1"/>
  <c r="L12" i="18"/>
  <c r="M12" i="18" s="1"/>
  <c r="M11" i="18"/>
  <c r="I8" i="18"/>
  <c r="I114" i="18" s="1"/>
  <c r="K13" i="18"/>
  <c r="L13" i="18" s="1"/>
  <c r="D8" i="18"/>
  <c r="L10" i="18"/>
  <c r="M10" i="18" s="1"/>
  <c r="G114" i="18"/>
  <c r="L11" i="19"/>
  <c r="M11" i="19" s="1"/>
  <c r="H8" i="19"/>
  <c r="L9" i="19"/>
  <c r="M9" i="19" s="1"/>
  <c r="I18" i="19"/>
  <c r="J20" i="19"/>
  <c r="J21" i="19" s="1"/>
  <c r="L12" i="19"/>
  <c r="M12" i="19" s="1"/>
  <c r="G13" i="19"/>
  <c r="H20" i="19"/>
  <c r="K15" i="19"/>
  <c r="K18" i="19"/>
  <c r="K14" i="19"/>
  <c r="D8" i="19"/>
  <c r="I15" i="19"/>
  <c r="I13" i="19"/>
  <c r="H13" i="19"/>
  <c r="F8" i="19"/>
  <c r="G20" i="19"/>
  <c r="G21" i="19" s="1"/>
  <c r="J114" i="18"/>
  <c r="K113" i="18"/>
  <c r="K16" i="18"/>
  <c r="K18" i="18"/>
  <c r="K20" i="18"/>
  <c r="F103" i="18"/>
  <c r="L103" i="18" s="1"/>
  <c r="M103" i="18" s="1"/>
  <c r="F102" i="18"/>
  <c r="L102" i="18" s="1"/>
  <c r="M102" i="18" s="1"/>
  <c r="K21" i="18"/>
  <c r="K23" i="18"/>
  <c r="K22" i="18"/>
  <c r="K15" i="18"/>
  <c r="H8" i="18"/>
  <c r="H114" i="18" s="1"/>
  <c r="F8" i="18"/>
  <c r="T14" i="15"/>
  <c r="S14" i="15"/>
  <c r="N14" i="15"/>
  <c r="M14" i="15"/>
  <c r="K14" i="15"/>
  <c r="J14" i="15"/>
  <c r="I14" i="15"/>
  <c r="G14" i="15"/>
  <c r="D14" i="15"/>
  <c r="U13" i="15"/>
  <c r="U12" i="15"/>
  <c r="U11" i="15"/>
  <c r="U10" i="15"/>
  <c r="O13" i="15"/>
  <c r="P13" i="15" s="1"/>
  <c r="O12" i="15"/>
  <c r="P12" i="15" s="1"/>
  <c r="O11" i="15"/>
  <c r="O9" i="15"/>
  <c r="O14" i="15" s="1"/>
  <c r="P11" i="15"/>
  <c r="P9" i="15"/>
  <c r="P14" i="15" s="1"/>
  <c r="O10" i="15"/>
  <c r="P10" i="15" s="1"/>
  <c r="K8" i="18" l="1"/>
  <c r="M13" i="18"/>
  <c r="M8" i="18" s="1"/>
  <c r="L8" i="18"/>
  <c r="K14" i="18"/>
  <c r="H21" i="19"/>
  <c r="K13" i="19"/>
  <c r="I20" i="19"/>
  <c r="I8" i="19"/>
  <c r="I21" i="19" s="1"/>
  <c r="K20" i="19"/>
  <c r="K114" i="18"/>
  <c r="K8" i="19" l="1"/>
  <c r="K21" i="19" s="1"/>
  <c r="L8" i="19" l="1"/>
  <c r="U9" i="15"/>
  <c r="U14" i="15" s="1"/>
  <c r="M8" i="19" l="1"/>
  <c r="H13" i="15"/>
  <c r="L13" i="15" s="1"/>
  <c r="F13" i="15"/>
  <c r="H12" i="15"/>
  <c r="L12" i="15" s="1"/>
  <c r="F12" i="15"/>
  <c r="H11" i="15"/>
  <c r="L11" i="15" s="1"/>
  <c r="F11" i="15"/>
  <c r="H10" i="15"/>
  <c r="L10" i="15" s="1"/>
  <c r="F10" i="15"/>
  <c r="H9" i="15"/>
  <c r="L9" i="15" s="1"/>
  <c r="F9" i="15"/>
  <c r="F14" i="15" s="1"/>
  <c r="L14" i="15" l="1"/>
  <c r="V11" i="15"/>
  <c r="Q11" i="15"/>
  <c r="V13" i="15"/>
  <c r="Q13" i="15"/>
  <c r="V9" i="15"/>
  <c r="Q9" i="15"/>
  <c r="V10" i="15"/>
  <c r="Q10" i="15"/>
  <c r="V12" i="15"/>
  <c r="Q12" i="15"/>
  <c r="H14" i="15"/>
  <c r="V14" i="15" l="1"/>
  <c r="R14" i="15"/>
  <c r="Q14" i="15"/>
  <c r="AF22" i="7" l="1"/>
  <c r="AE22" i="7"/>
  <c r="Y22" i="7"/>
  <c r="X22" i="7"/>
  <c r="W22" i="7"/>
  <c r="V22" i="7"/>
  <c r="T22" i="7"/>
  <c r="Q22" i="7"/>
  <c r="P22" i="7"/>
  <c r="AS97" i="13"/>
  <c r="AR97" i="13"/>
  <c r="AM97" i="13"/>
  <c r="AL97" i="13"/>
  <c r="AK97" i="13"/>
  <c r="AJ97" i="13"/>
  <c r="AI97" i="13"/>
  <c r="AG97" i="13"/>
  <c r="L97" i="13"/>
  <c r="K97" i="13"/>
  <c r="J97" i="13"/>
  <c r="I97" i="13"/>
  <c r="H97" i="13"/>
  <c r="G97" i="13"/>
  <c r="F97" i="13"/>
  <c r="E97" i="13"/>
  <c r="AS93" i="13"/>
  <c r="AR93" i="13"/>
  <c r="AM93" i="13"/>
  <c r="AL93" i="13"/>
  <c r="AK93" i="13"/>
  <c r="AJ93" i="13"/>
  <c r="AI93" i="13"/>
  <c r="AG93" i="13"/>
  <c r="L93" i="13"/>
  <c r="K93" i="13"/>
  <c r="J93" i="13"/>
  <c r="I93" i="13"/>
  <c r="H93" i="13"/>
  <c r="G93" i="13"/>
  <c r="F93" i="13"/>
  <c r="E93" i="13"/>
  <c r="AS89" i="13"/>
  <c r="AR89" i="13"/>
  <c r="AM89" i="13"/>
  <c r="AL89" i="13"/>
  <c r="AK89" i="13"/>
  <c r="AJ89" i="13"/>
  <c r="AI89" i="13"/>
  <c r="AG89" i="13"/>
  <c r="L89" i="13"/>
  <c r="K89" i="13"/>
  <c r="J89" i="13"/>
  <c r="I89" i="13"/>
  <c r="H89" i="13"/>
  <c r="G89" i="13"/>
  <c r="F89" i="13"/>
  <c r="E89" i="13"/>
  <c r="AS45" i="13"/>
  <c r="AR45" i="13"/>
  <c r="AM45" i="13"/>
  <c r="AL45" i="13"/>
  <c r="AK45" i="13"/>
  <c r="AJ45" i="13"/>
  <c r="AI45" i="13"/>
  <c r="AG45" i="13"/>
  <c r="L45" i="13"/>
  <c r="K45" i="13"/>
  <c r="J45" i="13"/>
  <c r="I45" i="13"/>
  <c r="H45" i="13"/>
  <c r="G45" i="13"/>
  <c r="F45" i="13"/>
  <c r="E45" i="13"/>
  <c r="AS39" i="13"/>
  <c r="AR39" i="13"/>
  <c r="AM39" i="13"/>
  <c r="AL39" i="13"/>
  <c r="AK39" i="13"/>
  <c r="AJ39" i="13"/>
  <c r="AI39" i="13"/>
  <c r="AG39" i="13"/>
  <c r="L39" i="13"/>
  <c r="K39" i="13"/>
  <c r="J39" i="13"/>
  <c r="I39" i="13"/>
  <c r="H39" i="13"/>
  <c r="G39" i="13"/>
  <c r="F39" i="13"/>
  <c r="E39" i="13"/>
  <c r="AS8" i="13"/>
  <c r="AR8" i="13"/>
  <c r="AM8" i="13"/>
  <c r="AL8" i="13"/>
  <c r="AK8" i="13"/>
  <c r="AJ8" i="13"/>
  <c r="AI8" i="13"/>
  <c r="AG8" i="13"/>
  <c r="L8" i="13"/>
  <c r="K8" i="13"/>
  <c r="J8" i="13"/>
  <c r="I8" i="13"/>
  <c r="H8" i="13"/>
  <c r="G8" i="13"/>
  <c r="F8" i="13"/>
  <c r="E8" i="13"/>
  <c r="AO86" i="13"/>
  <c r="AP86" i="13" s="1"/>
  <c r="AT86" i="13" s="1"/>
  <c r="AU86" i="13" s="1"/>
  <c r="AO87" i="13"/>
  <c r="AP87" i="13" s="1"/>
  <c r="AT87" i="13" s="1"/>
  <c r="AU87" i="13" s="1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32" i="13"/>
  <c r="AM33" i="13"/>
  <c r="AM34" i="13"/>
  <c r="AM35" i="13"/>
  <c r="AM36" i="13"/>
  <c r="AM37" i="13"/>
  <c r="AM38" i="13"/>
  <c r="AM40" i="13"/>
  <c r="AM41" i="13"/>
  <c r="AM42" i="13"/>
  <c r="AM43" i="13"/>
  <c r="AM44" i="13"/>
  <c r="AM46" i="13"/>
  <c r="AM47" i="13"/>
  <c r="AM48" i="13"/>
  <c r="AM49" i="13"/>
  <c r="AM50" i="13"/>
  <c r="AM51" i="13"/>
  <c r="AM52" i="13"/>
  <c r="AM53" i="13"/>
  <c r="AM54" i="13"/>
  <c r="AM55" i="13"/>
  <c r="AM56" i="13"/>
  <c r="AM57" i="13"/>
  <c r="AM58" i="13"/>
  <c r="AM59" i="13"/>
  <c r="AM60" i="13"/>
  <c r="AM61" i="13"/>
  <c r="AM62" i="13"/>
  <c r="AM63" i="13"/>
  <c r="AM64" i="13"/>
  <c r="AM65" i="13"/>
  <c r="AM66" i="13"/>
  <c r="AM67" i="13"/>
  <c r="AM68" i="13"/>
  <c r="AM69" i="13"/>
  <c r="AM70" i="13"/>
  <c r="AM71" i="13"/>
  <c r="AM72" i="13"/>
  <c r="AM73" i="13"/>
  <c r="AM74" i="13"/>
  <c r="AM75" i="13"/>
  <c r="AM76" i="13"/>
  <c r="AM77" i="13"/>
  <c r="AM78" i="13"/>
  <c r="AM79" i="13"/>
  <c r="AM80" i="13"/>
  <c r="AM81" i="13"/>
  <c r="AM82" i="13"/>
  <c r="AM83" i="13"/>
  <c r="AM84" i="13"/>
  <c r="AM85" i="13"/>
  <c r="AM86" i="13"/>
  <c r="AM87" i="13"/>
  <c r="AM88" i="13"/>
  <c r="AM90" i="13"/>
  <c r="AM91" i="13"/>
  <c r="AM92" i="13"/>
  <c r="AM94" i="13"/>
  <c r="AM95" i="13"/>
  <c r="AM96" i="13"/>
  <c r="AM9" i="13"/>
  <c r="W86" i="13"/>
  <c r="W87" i="13"/>
  <c r="V96" i="13"/>
  <c r="U96" i="13"/>
  <c r="T96" i="13"/>
  <c r="S96" i="13"/>
  <c r="S93" i="13" s="1"/>
  <c r="R96" i="13"/>
  <c r="R93" i="13" s="1"/>
  <c r="Q96" i="13"/>
  <c r="Z96" i="13" s="1"/>
  <c r="P96" i="13"/>
  <c r="AQ96" i="13" s="1"/>
  <c r="O96" i="13"/>
  <c r="Y96" i="13" s="1"/>
  <c r="Y93" i="13" s="1"/>
  <c r="N96" i="13"/>
  <c r="M96" i="13"/>
  <c r="AC96" i="13" s="1"/>
  <c r="E96" i="13"/>
  <c r="V95" i="13"/>
  <c r="U95" i="13"/>
  <c r="T95" i="13"/>
  <c r="S95" i="13"/>
  <c r="R95" i="13"/>
  <c r="Q95" i="13"/>
  <c r="Z95" i="13" s="1"/>
  <c r="P95" i="13"/>
  <c r="AQ95" i="13" s="1"/>
  <c r="O95" i="13"/>
  <c r="Y95" i="13" s="1"/>
  <c r="N95" i="13"/>
  <c r="M95" i="13"/>
  <c r="AF95" i="13" s="1"/>
  <c r="E95" i="13"/>
  <c r="V94" i="13"/>
  <c r="V93" i="13" s="1"/>
  <c r="U94" i="13"/>
  <c r="U93" i="13" s="1"/>
  <c r="T94" i="13"/>
  <c r="T93" i="13" s="1"/>
  <c r="S94" i="13"/>
  <c r="R94" i="13"/>
  <c r="Q94" i="13"/>
  <c r="Z94" i="13" s="1"/>
  <c r="P94" i="13"/>
  <c r="AQ94" i="13" s="1"/>
  <c r="O94" i="13"/>
  <c r="Y94" i="13" s="1"/>
  <c r="N94" i="13"/>
  <c r="M94" i="13"/>
  <c r="E94" i="13"/>
  <c r="V92" i="13"/>
  <c r="U92" i="13"/>
  <c r="T92" i="13"/>
  <c r="S92" i="13"/>
  <c r="R92" i="13"/>
  <c r="Q92" i="13"/>
  <c r="Z92" i="13" s="1"/>
  <c r="P92" i="13"/>
  <c r="AQ92" i="13" s="1"/>
  <c r="AQ89" i="13" s="1"/>
  <c r="O92" i="13"/>
  <c r="Y92" i="13" s="1"/>
  <c r="N92" i="13"/>
  <c r="M92" i="13"/>
  <c r="E92" i="13"/>
  <c r="V91" i="13"/>
  <c r="U91" i="13"/>
  <c r="T91" i="13"/>
  <c r="S91" i="13"/>
  <c r="R91" i="13"/>
  <c r="Q91" i="13"/>
  <c r="Z91" i="13" s="1"/>
  <c r="P91" i="13"/>
  <c r="AQ91" i="13" s="1"/>
  <c r="O91" i="13"/>
  <c r="Y91" i="13" s="1"/>
  <c r="Y89" i="13" s="1"/>
  <c r="N91" i="13"/>
  <c r="M91" i="13"/>
  <c r="AF91" i="13" s="1"/>
  <c r="E91" i="13"/>
  <c r="V90" i="13"/>
  <c r="V89" i="13" s="1"/>
  <c r="U90" i="13"/>
  <c r="U89" i="13" s="1"/>
  <c r="T90" i="13"/>
  <c r="S90" i="13"/>
  <c r="R90" i="13"/>
  <c r="Q90" i="13"/>
  <c r="P90" i="13"/>
  <c r="AQ90" i="13" s="1"/>
  <c r="O90" i="13"/>
  <c r="Y90" i="13" s="1"/>
  <c r="N90" i="13"/>
  <c r="M90" i="13"/>
  <c r="E90" i="13"/>
  <c r="V88" i="13"/>
  <c r="U88" i="13"/>
  <c r="T88" i="13"/>
  <c r="S88" i="13"/>
  <c r="R88" i="13"/>
  <c r="Q88" i="13"/>
  <c r="Z88" i="13" s="1"/>
  <c r="P88" i="13"/>
  <c r="AQ88" i="13" s="1"/>
  <c r="O88" i="13"/>
  <c r="Y88" i="13" s="1"/>
  <c r="N88" i="13"/>
  <c r="M88" i="13"/>
  <c r="E88" i="13"/>
  <c r="AQ87" i="13"/>
  <c r="AF87" i="13"/>
  <c r="AE87" i="13"/>
  <c r="AD87" i="13"/>
  <c r="AC87" i="13"/>
  <c r="AB87" i="13"/>
  <c r="AA87" i="13"/>
  <c r="Z87" i="13"/>
  <c r="Y87" i="13"/>
  <c r="X87" i="13"/>
  <c r="E87" i="13"/>
  <c r="AQ86" i="13"/>
  <c r="AF86" i="13"/>
  <c r="AE86" i="13"/>
  <c r="AD86" i="13"/>
  <c r="AC86" i="13"/>
  <c r="AB86" i="13"/>
  <c r="AA86" i="13"/>
  <c r="Z86" i="13"/>
  <c r="Y86" i="13"/>
  <c r="X86" i="13"/>
  <c r="E86" i="13"/>
  <c r="V85" i="13"/>
  <c r="U85" i="13"/>
  <c r="T85" i="13"/>
  <c r="S85" i="13"/>
  <c r="R85" i="13"/>
  <c r="Q85" i="13"/>
  <c r="Z85" i="13" s="1"/>
  <c r="P85" i="13"/>
  <c r="AQ85" i="13" s="1"/>
  <c r="O85" i="13"/>
  <c r="Y85" i="13" s="1"/>
  <c r="N85" i="13"/>
  <c r="M85" i="13"/>
  <c r="AC85" i="13" s="1"/>
  <c r="E85" i="13"/>
  <c r="V84" i="13"/>
  <c r="U84" i="13"/>
  <c r="T84" i="13"/>
  <c r="S84" i="13"/>
  <c r="R84" i="13"/>
  <c r="Q84" i="13"/>
  <c r="Z84" i="13" s="1"/>
  <c r="P84" i="13"/>
  <c r="AQ84" i="13" s="1"/>
  <c r="O84" i="13"/>
  <c r="Y84" i="13" s="1"/>
  <c r="N84" i="13"/>
  <c r="M84" i="13"/>
  <c r="AA84" i="13" s="1"/>
  <c r="E84" i="13"/>
  <c r="V83" i="13"/>
  <c r="U83" i="13"/>
  <c r="T83" i="13"/>
  <c r="S83" i="13"/>
  <c r="R83" i="13"/>
  <c r="Q83" i="13"/>
  <c r="Z83" i="13" s="1"/>
  <c r="P83" i="13"/>
  <c r="AQ83" i="13" s="1"/>
  <c r="O83" i="13"/>
  <c r="Y83" i="13" s="1"/>
  <c r="N83" i="13"/>
  <c r="M83" i="13"/>
  <c r="E83" i="13"/>
  <c r="V82" i="13"/>
  <c r="U82" i="13"/>
  <c r="T82" i="13"/>
  <c r="S82" i="13"/>
  <c r="R82" i="13"/>
  <c r="Q82" i="13"/>
  <c r="Z82" i="13" s="1"/>
  <c r="P82" i="13"/>
  <c r="AQ82" i="13" s="1"/>
  <c r="O82" i="13"/>
  <c r="Y82" i="13" s="1"/>
  <c r="N82" i="13"/>
  <c r="M82" i="13"/>
  <c r="E82" i="13"/>
  <c r="V81" i="13"/>
  <c r="U81" i="13"/>
  <c r="T81" i="13"/>
  <c r="S81" i="13"/>
  <c r="R81" i="13"/>
  <c r="Q81" i="13"/>
  <c r="Z81" i="13" s="1"/>
  <c r="P81" i="13"/>
  <c r="AQ81" i="13" s="1"/>
  <c r="O81" i="13"/>
  <c r="Y81" i="13" s="1"/>
  <c r="N81" i="13"/>
  <c r="M81" i="13"/>
  <c r="AC81" i="13" s="1"/>
  <c r="E81" i="13"/>
  <c r="V80" i="13"/>
  <c r="U80" i="13"/>
  <c r="T80" i="13"/>
  <c r="S80" i="13"/>
  <c r="R80" i="13"/>
  <c r="Q80" i="13"/>
  <c r="Z80" i="13" s="1"/>
  <c r="P80" i="13"/>
  <c r="AQ80" i="13" s="1"/>
  <c r="O80" i="13"/>
  <c r="Y80" i="13" s="1"/>
  <c r="N80" i="13"/>
  <c r="M80" i="13"/>
  <c r="AD80" i="13" s="1"/>
  <c r="E80" i="13"/>
  <c r="V79" i="13"/>
  <c r="U79" i="13"/>
  <c r="T79" i="13"/>
  <c r="S79" i="13"/>
  <c r="R79" i="13"/>
  <c r="Q79" i="13"/>
  <c r="Z79" i="13" s="1"/>
  <c r="P79" i="13"/>
  <c r="AQ79" i="13" s="1"/>
  <c r="O79" i="13"/>
  <c r="Y79" i="13" s="1"/>
  <c r="N79" i="13"/>
  <c r="M79" i="13"/>
  <c r="E79" i="13"/>
  <c r="V78" i="13"/>
  <c r="U78" i="13"/>
  <c r="T78" i="13"/>
  <c r="S78" i="13"/>
  <c r="R78" i="13"/>
  <c r="Q78" i="13"/>
  <c r="Z78" i="13" s="1"/>
  <c r="P78" i="13"/>
  <c r="AQ78" i="13" s="1"/>
  <c r="O78" i="13"/>
  <c r="Y78" i="13" s="1"/>
  <c r="N78" i="13"/>
  <c r="M78" i="13"/>
  <c r="AF78" i="13" s="1"/>
  <c r="E78" i="13"/>
  <c r="V77" i="13"/>
  <c r="U77" i="13"/>
  <c r="T77" i="13"/>
  <c r="S77" i="13"/>
  <c r="R77" i="13"/>
  <c r="Q77" i="13"/>
  <c r="Z77" i="13" s="1"/>
  <c r="P77" i="13"/>
  <c r="AQ77" i="13" s="1"/>
  <c r="O77" i="13"/>
  <c r="Y77" i="13" s="1"/>
  <c r="N77" i="13"/>
  <c r="M77" i="13"/>
  <c r="AE77" i="13" s="1"/>
  <c r="E77" i="13"/>
  <c r="V76" i="13"/>
  <c r="U76" i="13"/>
  <c r="T76" i="13"/>
  <c r="S76" i="13"/>
  <c r="R76" i="13"/>
  <c r="Q76" i="13"/>
  <c r="Z76" i="13" s="1"/>
  <c r="P76" i="13"/>
  <c r="AQ76" i="13" s="1"/>
  <c r="O76" i="13"/>
  <c r="Y76" i="13" s="1"/>
  <c r="N76" i="13"/>
  <c r="M76" i="13"/>
  <c r="E76" i="13"/>
  <c r="V75" i="13"/>
  <c r="U75" i="13"/>
  <c r="T75" i="13"/>
  <c r="S75" i="13"/>
  <c r="R75" i="13"/>
  <c r="Q75" i="13"/>
  <c r="Z75" i="13" s="1"/>
  <c r="P75" i="13"/>
  <c r="AQ75" i="13" s="1"/>
  <c r="O75" i="13"/>
  <c r="Y75" i="13" s="1"/>
  <c r="N75" i="13"/>
  <c r="M75" i="13"/>
  <c r="AC75" i="13" s="1"/>
  <c r="E75" i="13"/>
  <c r="V74" i="13"/>
  <c r="U74" i="13"/>
  <c r="T74" i="13"/>
  <c r="S74" i="13"/>
  <c r="R74" i="13"/>
  <c r="Q74" i="13"/>
  <c r="Z74" i="13" s="1"/>
  <c r="P74" i="13"/>
  <c r="AQ74" i="13" s="1"/>
  <c r="O74" i="13"/>
  <c r="Y74" i="13" s="1"/>
  <c r="N74" i="13"/>
  <c r="M74" i="13"/>
  <c r="AC74" i="13" s="1"/>
  <c r="E74" i="13"/>
  <c r="V73" i="13"/>
  <c r="U73" i="13"/>
  <c r="T73" i="13"/>
  <c r="S73" i="13"/>
  <c r="R73" i="13"/>
  <c r="Q73" i="13"/>
  <c r="Z73" i="13" s="1"/>
  <c r="P73" i="13"/>
  <c r="AQ73" i="13" s="1"/>
  <c r="O73" i="13"/>
  <c r="Y73" i="13" s="1"/>
  <c r="N73" i="13"/>
  <c r="M73" i="13"/>
  <c r="E73" i="13"/>
  <c r="V72" i="13"/>
  <c r="U72" i="13"/>
  <c r="T72" i="13"/>
  <c r="S72" i="13"/>
  <c r="R72" i="13"/>
  <c r="Q72" i="13"/>
  <c r="Z72" i="13" s="1"/>
  <c r="P72" i="13"/>
  <c r="AQ72" i="13" s="1"/>
  <c r="O72" i="13"/>
  <c r="Y72" i="13" s="1"/>
  <c r="N72" i="13"/>
  <c r="M72" i="13"/>
  <c r="E72" i="13"/>
  <c r="V71" i="13"/>
  <c r="U71" i="13"/>
  <c r="T71" i="13"/>
  <c r="S71" i="13"/>
  <c r="R71" i="13"/>
  <c r="Q71" i="13"/>
  <c r="Z71" i="13" s="1"/>
  <c r="P71" i="13"/>
  <c r="AQ71" i="13" s="1"/>
  <c r="O71" i="13"/>
  <c r="Y71" i="13" s="1"/>
  <c r="N71" i="13"/>
  <c r="M71" i="13"/>
  <c r="E71" i="13"/>
  <c r="V70" i="13"/>
  <c r="U70" i="13"/>
  <c r="T70" i="13"/>
  <c r="S70" i="13"/>
  <c r="R70" i="13"/>
  <c r="Q70" i="13"/>
  <c r="Z70" i="13" s="1"/>
  <c r="P70" i="13"/>
  <c r="AQ70" i="13" s="1"/>
  <c r="O70" i="13"/>
  <c r="Y70" i="13" s="1"/>
  <c r="N70" i="13"/>
  <c r="M70" i="13"/>
  <c r="AC70" i="13" s="1"/>
  <c r="E70" i="13"/>
  <c r="AD69" i="13"/>
  <c r="AC69" i="13"/>
  <c r="V69" i="13"/>
  <c r="U69" i="13"/>
  <c r="T69" i="13"/>
  <c r="S69" i="13"/>
  <c r="R69" i="13"/>
  <c r="Q69" i="13"/>
  <c r="Z69" i="13" s="1"/>
  <c r="P69" i="13"/>
  <c r="AQ69" i="13" s="1"/>
  <c r="O69" i="13"/>
  <c r="Y69" i="13" s="1"/>
  <c r="N69" i="13"/>
  <c r="M69" i="13"/>
  <c r="AF69" i="13" s="1"/>
  <c r="E69" i="13"/>
  <c r="AF68" i="13"/>
  <c r="AE68" i="13"/>
  <c r="AD68" i="13"/>
  <c r="V68" i="13"/>
  <c r="U68" i="13"/>
  <c r="T68" i="13"/>
  <c r="S68" i="13"/>
  <c r="R68" i="13"/>
  <c r="Q68" i="13"/>
  <c r="Z68" i="13" s="1"/>
  <c r="P68" i="13"/>
  <c r="AQ68" i="13" s="1"/>
  <c r="O68" i="13"/>
  <c r="Y68" i="13" s="1"/>
  <c r="N68" i="13"/>
  <c r="M68" i="13"/>
  <c r="AB68" i="13" s="1"/>
  <c r="E68" i="13"/>
  <c r="V67" i="13"/>
  <c r="U67" i="13"/>
  <c r="T67" i="13"/>
  <c r="S67" i="13"/>
  <c r="R67" i="13"/>
  <c r="Q67" i="13"/>
  <c r="Z67" i="13" s="1"/>
  <c r="P67" i="13"/>
  <c r="AQ67" i="13" s="1"/>
  <c r="O67" i="13"/>
  <c r="Y67" i="13" s="1"/>
  <c r="N67" i="13"/>
  <c r="M67" i="13"/>
  <c r="E67" i="13"/>
  <c r="V66" i="13"/>
  <c r="U66" i="13"/>
  <c r="T66" i="13"/>
  <c r="S66" i="13"/>
  <c r="R66" i="13"/>
  <c r="Q66" i="13"/>
  <c r="Z66" i="13" s="1"/>
  <c r="P66" i="13"/>
  <c r="AQ66" i="13" s="1"/>
  <c r="O66" i="13"/>
  <c r="Y66" i="13" s="1"/>
  <c r="N66" i="13"/>
  <c r="M66" i="13"/>
  <c r="E66" i="13"/>
  <c r="V65" i="13"/>
  <c r="U65" i="13"/>
  <c r="T65" i="13"/>
  <c r="S65" i="13"/>
  <c r="R65" i="13"/>
  <c r="Q65" i="13"/>
  <c r="Z65" i="13" s="1"/>
  <c r="P65" i="13"/>
  <c r="AQ65" i="13" s="1"/>
  <c r="O65" i="13"/>
  <c r="Y65" i="13" s="1"/>
  <c r="N65" i="13"/>
  <c r="M65" i="13"/>
  <c r="AC65" i="13" s="1"/>
  <c r="E65" i="13"/>
  <c r="V64" i="13"/>
  <c r="U64" i="13"/>
  <c r="T64" i="13"/>
  <c r="S64" i="13"/>
  <c r="R64" i="13"/>
  <c r="Q64" i="13"/>
  <c r="Z64" i="13" s="1"/>
  <c r="P64" i="13"/>
  <c r="AQ64" i="13" s="1"/>
  <c r="O64" i="13"/>
  <c r="Y64" i="13" s="1"/>
  <c r="N64" i="13"/>
  <c r="M64" i="13"/>
  <c r="E64" i="13"/>
  <c r="V63" i="13"/>
  <c r="U63" i="13"/>
  <c r="T63" i="13"/>
  <c r="S63" i="13"/>
  <c r="R63" i="13"/>
  <c r="Q63" i="13"/>
  <c r="Z63" i="13" s="1"/>
  <c r="P63" i="13"/>
  <c r="AQ63" i="13" s="1"/>
  <c r="O63" i="13"/>
  <c r="Y63" i="13" s="1"/>
  <c r="N63" i="13"/>
  <c r="M63" i="13"/>
  <c r="AB63" i="13" s="1"/>
  <c r="E63" i="13"/>
  <c r="V62" i="13"/>
  <c r="U62" i="13"/>
  <c r="T62" i="13"/>
  <c r="S62" i="13"/>
  <c r="R62" i="13"/>
  <c r="Q62" i="13"/>
  <c r="Z62" i="13" s="1"/>
  <c r="P62" i="13"/>
  <c r="AQ62" i="13" s="1"/>
  <c r="O62" i="13"/>
  <c r="Y62" i="13" s="1"/>
  <c r="N62" i="13"/>
  <c r="M62" i="13"/>
  <c r="AF62" i="13" s="1"/>
  <c r="E62" i="13"/>
  <c r="V61" i="13"/>
  <c r="U61" i="13"/>
  <c r="T61" i="13"/>
  <c r="S61" i="13"/>
  <c r="R61" i="13"/>
  <c r="Q61" i="13"/>
  <c r="Z61" i="13" s="1"/>
  <c r="P61" i="13"/>
  <c r="AQ61" i="13" s="1"/>
  <c r="O61" i="13"/>
  <c r="Y61" i="13" s="1"/>
  <c r="N61" i="13"/>
  <c r="M61" i="13"/>
  <c r="AF61" i="13" s="1"/>
  <c r="E61" i="13"/>
  <c r="V60" i="13"/>
  <c r="U60" i="13"/>
  <c r="T60" i="13"/>
  <c r="S60" i="13"/>
  <c r="R60" i="13"/>
  <c r="Q60" i="13"/>
  <c r="Z60" i="13" s="1"/>
  <c r="P60" i="13"/>
  <c r="AQ60" i="13" s="1"/>
  <c r="O60" i="13"/>
  <c r="Y60" i="13" s="1"/>
  <c r="N60" i="13"/>
  <c r="M60" i="13"/>
  <c r="AA60" i="13" s="1"/>
  <c r="E60" i="13"/>
  <c r="V59" i="13"/>
  <c r="U59" i="13"/>
  <c r="T59" i="13"/>
  <c r="S59" i="13"/>
  <c r="R59" i="13"/>
  <c r="Q59" i="13"/>
  <c r="Z59" i="13" s="1"/>
  <c r="P59" i="13"/>
  <c r="AQ59" i="13" s="1"/>
  <c r="O59" i="13"/>
  <c r="Y59" i="13" s="1"/>
  <c r="N59" i="13"/>
  <c r="M59" i="13"/>
  <c r="E59" i="13"/>
  <c r="V58" i="13"/>
  <c r="U58" i="13"/>
  <c r="T58" i="13"/>
  <c r="S58" i="13"/>
  <c r="R58" i="13"/>
  <c r="Q58" i="13"/>
  <c r="Z58" i="13" s="1"/>
  <c r="P58" i="13"/>
  <c r="AQ58" i="13" s="1"/>
  <c r="O58" i="13"/>
  <c r="Y58" i="13" s="1"/>
  <c r="N58" i="13"/>
  <c r="M58" i="13"/>
  <c r="E58" i="13"/>
  <c r="V57" i="13"/>
  <c r="U57" i="13"/>
  <c r="T57" i="13"/>
  <c r="S57" i="13"/>
  <c r="R57" i="13"/>
  <c r="Q57" i="13"/>
  <c r="Z57" i="13" s="1"/>
  <c r="P57" i="13"/>
  <c r="AQ57" i="13" s="1"/>
  <c r="O57" i="13"/>
  <c r="Y57" i="13" s="1"/>
  <c r="N57" i="13"/>
  <c r="M57" i="13"/>
  <c r="AA57" i="13" s="1"/>
  <c r="E57" i="13"/>
  <c r="V56" i="13"/>
  <c r="U56" i="13"/>
  <c r="T56" i="13"/>
  <c r="S56" i="13"/>
  <c r="R56" i="13"/>
  <c r="Q56" i="13"/>
  <c r="Z56" i="13" s="1"/>
  <c r="P56" i="13"/>
  <c r="AQ56" i="13" s="1"/>
  <c r="O56" i="13"/>
  <c r="Y56" i="13" s="1"/>
  <c r="N56" i="13"/>
  <c r="M56" i="13"/>
  <c r="AE56" i="13" s="1"/>
  <c r="E56" i="13"/>
  <c r="V55" i="13"/>
  <c r="U55" i="13"/>
  <c r="T55" i="13"/>
  <c r="S55" i="13"/>
  <c r="R55" i="13"/>
  <c r="Q55" i="13"/>
  <c r="Z55" i="13" s="1"/>
  <c r="P55" i="13"/>
  <c r="AQ55" i="13" s="1"/>
  <c r="O55" i="13"/>
  <c r="Y55" i="13" s="1"/>
  <c r="N55" i="13"/>
  <c r="M55" i="13"/>
  <c r="E55" i="13"/>
  <c r="V54" i="13"/>
  <c r="U54" i="13"/>
  <c r="T54" i="13"/>
  <c r="S54" i="13"/>
  <c r="R54" i="13"/>
  <c r="Q54" i="13"/>
  <c r="Z54" i="13" s="1"/>
  <c r="P54" i="13"/>
  <c r="AQ54" i="13" s="1"/>
  <c r="O54" i="13"/>
  <c r="Y54" i="13" s="1"/>
  <c r="N54" i="13"/>
  <c r="M54" i="13"/>
  <c r="E54" i="13"/>
  <c r="V53" i="13"/>
  <c r="U53" i="13"/>
  <c r="T53" i="13"/>
  <c r="S53" i="13"/>
  <c r="R53" i="13"/>
  <c r="Q53" i="13"/>
  <c r="Z53" i="13" s="1"/>
  <c r="P53" i="13"/>
  <c r="AQ53" i="13" s="1"/>
  <c r="O53" i="13"/>
  <c r="Y53" i="13" s="1"/>
  <c r="N53" i="13"/>
  <c r="M53" i="13"/>
  <c r="AF53" i="13" s="1"/>
  <c r="E53" i="13"/>
  <c r="V52" i="13"/>
  <c r="U52" i="13"/>
  <c r="T52" i="13"/>
  <c r="S52" i="13"/>
  <c r="R52" i="13"/>
  <c r="Q52" i="13"/>
  <c r="Z52" i="13" s="1"/>
  <c r="P52" i="13"/>
  <c r="AQ52" i="13" s="1"/>
  <c r="O52" i="13"/>
  <c r="Y52" i="13" s="1"/>
  <c r="N52" i="13"/>
  <c r="M52" i="13"/>
  <c r="AA52" i="13" s="1"/>
  <c r="E52" i="13"/>
  <c r="V51" i="13"/>
  <c r="U51" i="13"/>
  <c r="T51" i="13"/>
  <c r="S51" i="13"/>
  <c r="R51" i="13"/>
  <c r="Q51" i="13"/>
  <c r="Z51" i="13" s="1"/>
  <c r="P51" i="13"/>
  <c r="AQ51" i="13" s="1"/>
  <c r="O51" i="13"/>
  <c r="Y51" i="13" s="1"/>
  <c r="N51" i="13"/>
  <c r="M51" i="13"/>
  <c r="AA51" i="13" s="1"/>
  <c r="E51" i="13"/>
  <c r="V50" i="13"/>
  <c r="U50" i="13"/>
  <c r="T50" i="13"/>
  <c r="S50" i="13"/>
  <c r="R50" i="13"/>
  <c r="Q50" i="13"/>
  <c r="Z50" i="13" s="1"/>
  <c r="P50" i="13"/>
  <c r="AQ50" i="13" s="1"/>
  <c r="O50" i="13"/>
  <c r="Y50" i="13" s="1"/>
  <c r="N50" i="13"/>
  <c r="M50" i="13"/>
  <c r="AF50" i="13" s="1"/>
  <c r="E50" i="13"/>
  <c r="V49" i="13"/>
  <c r="U49" i="13"/>
  <c r="T49" i="13"/>
  <c r="S49" i="13"/>
  <c r="R49" i="13"/>
  <c r="Q49" i="13"/>
  <c r="Z49" i="13" s="1"/>
  <c r="P49" i="13"/>
  <c r="AQ49" i="13" s="1"/>
  <c r="O49" i="13"/>
  <c r="Y49" i="13" s="1"/>
  <c r="N49" i="13"/>
  <c r="M49" i="13"/>
  <c r="AC49" i="13" s="1"/>
  <c r="E49" i="13"/>
  <c r="V48" i="13"/>
  <c r="U48" i="13"/>
  <c r="T48" i="13"/>
  <c r="S48" i="13"/>
  <c r="R48" i="13"/>
  <c r="R45" i="13" s="1"/>
  <c r="Q48" i="13"/>
  <c r="Z48" i="13" s="1"/>
  <c r="P48" i="13"/>
  <c r="AQ48" i="13" s="1"/>
  <c r="O48" i="13"/>
  <c r="Y48" i="13" s="1"/>
  <c r="N48" i="13"/>
  <c r="M48" i="13"/>
  <c r="E48" i="13"/>
  <c r="V47" i="13"/>
  <c r="U47" i="13"/>
  <c r="T47" i="13"/>
  <c r="S47" i="13"/>
  <c r="R47" i="13"/>
  <c r="Q47" i="13"/>
  <c r="Z47" i="13" s="1"/>
  <c r="P47" i="13"/>
  <c r="AQ47" i="13" s="1"/>
  <c r="O47" i="13"/>
  <c r="Y47" i="13" s="1"/>
  <c r="N47" i="13"/>
  <c r="M47" i="13"/>
  <c r="AF47" i="13" s="1"/>
  <c r="E47" i="13"/>
  <c r="V46" i="13"/>
  <c r="V45" i="13" s="1"/>
  <c r="U46" i="13"/>
  <c r="U45" i="13" s="1"/>
  <c r="T46" i="13"/>
  <c r="T45" i="13" s="1"/>
  <c r="S46" i="13"/>
  <c r="S45" i="13" s="1"/>
  <c r="R46" i="13"/>
  <c r="Q46" i="13"/>
  <c r="Z46" i="13" s="1"/>
  <c r="P46" i="13"/>
  <c r="AQ46" i="13" s="1"/>
  <c r="AT46" i="13" s="1"/>
  <c r="O46" i="13"/>
  <c r="Y46" i="13" s="1"/>
  <c r="N46" i="13"/>
  <c r="M46" i="13"/>
  <c r="E46" i="13"/>
  <c r="V44" i="13"/>
  <c r="U44" i="13"/>
  <c r="T44" i="13"/>
  <c r="S44" i="13"/>
  <c r="R44" i="13"/>
  <c r="Q44" i="13"/>
  <c r="Z44" i="13" s="1"/>
  <c r="P44" i="13"/>
  <c r="AQ44" i="13" s="1"/>
  <c r="O44" i="13"/>
  <c r="Y44" i="13" s="1"/>
  <c r="N44" i="13"/>
  <c r="M44" i="13"/>
  <c r="AF44" i="13" s="1"/>
  <c r="E44" i="13"/>
  <c r="V43" i="13"/>
  <c r="U43" i="13"/>
  <c r="T43" i="13"/>
  <c r="S43" i="13"/>
  <c r="R43" i="13"/>
  <c r="Q43" i="13"/>
  <c r="Z43" i="13" s="1"/>
  <c r="P43" i="13"/>
  <c r="AQ43" i="13" s="1"/>
  <c r="O43" i="13"/>
  <c r="Y43" i="13" s="1"/>
  <c r="N43" i="13"/>
  <c r="M43" i="13"/>
  <c r="E43" i="13"/>
  <c r="V42" i="13"/>
  <c r="U42" i="13"/>
  <c r="T42" i="13"/>
  <c r="S42" i="13"/>
  <c r="R42" i="13"/>
  <c r="Q42" i="13"/>
  <c r="Z42" i="13" s="1"/>
  <c r="P42" i="13"/>
  <c r="AQ42" i="13" s="1"/>
  <c r="O42" i="13"/>
  <c r="Y42" i="13" s="1"/>
  <c r="N42" i="13"/>
  <c r="M42" i="13"/>
  <c r="AE42" i="13" s="1"/>
  <c r="E42" i="13"/>
  <c r="V41" i="13"/>
  <c r="V39" i="13" s="1"/>
  <c r="U41" i="13"/>
  <c r="U39" i="13" s="1"/>
  <c r="T41" i="13"/>
  <c r="S41" i="13"/>
  <c r="R41" i="13"/>
  <c r="Q41" i="13"/>
  <c r="Z41" i="13" s="1"/>
  <c r="P41" i="13"/>
  <c r="AQ41" i="13" s="1"/>
  <c r="O41" i="13"/>
  <c r="Y41" i="13" s="1"/>
  <c r="N41" i="13"/>
  <c r="M41" i="13"/>
  <c r="AD41" i="13" s="1"/>
  <c r="E41" i="13"/>
  <c r="V40" i="13"/>
  <c r="U40" i="13"/>
  <c r="T40" i="13"/>
  <c r="S40" i="13"/>
  <c r="R40" i="13"/>
  <c r="Q40" i="13"/>
  <c r="P40" i="13"/>
  <c r="O40" i="13"/>
  <c r="N40" i="13"/>
  <c r="M40" i="13"/>
  <c r="AA40" i="13" s="1"/>
  <c r="E40" i="13"/>
  <c r="V38" i="13"/>
  <c r="U38" i="13"/>
  <c r="T38" i="13"/>
  <c r="S38" i="13"/>
  <c r="R38" i="13"/>
  <c r="Q38" i="13"/>
  <c r="Z38" i="13" s="1"/>
  <c r="P38" i="13"/>
  <c r="AQ38" i="13" s="1"/>
  <c r="O38" i="13"/>
  <c r="Y38" i="13" s="1"/>
  <c r="N38" i="13"/>
  <c r="M38" i="13"/>
  <c r="AC38" i="13" s="1"/>
  <c r="E38" i="13"/>
  <c r="V37" i="13"/>
  <c r="U37" i="13"/>
  <c r="T37" i="13"/>
  <c r="S37" i="13"/>
  <c r="R37" i="13"/>
  <c r="Q37" i="13"/>
  <c r="Z37" i="13" s="1"/>
  <c r="P37" i="13"/>
  <c r="AQ37" i="13" s="1"/>
  <c r="O37" i="13"/>
  <c r="Y37" i="13" s="1"/>
  <c r="N37" i="13"/>
  <c r="M37" i="13"/>
  <c r="E37" i="13"/>
  <c r="V36" i="13"/>
  <c r="U36" i="13"/>
  <c r="T36" i="13"/>
  <c r="S36" i="13"/>
  <c r="R36" i="13"/>
  <c r="Q36" i="13"/>
  <c r="Z36" i="13" s="1"/>
  <c r="P36" i="13"/>
  <c r="AQ36" i="13" s="1"/>
  <c r="O36" i="13"/>
  <c r="Y36" i="13" s="1"/>
  <c r="N36" i="13"/>
  <c r="M36" i="13"/>
  <c r="E36" i="13"/>
  <c r="V35" i="13"/>
  <c r="U35" i="13"/>
  <c r="T35" i="13"/>
  <c r="S35" i="13"/>
  <c r="R35" i="13"/>
  <c r="Q35" i="13"/>
  <c r="Z35" i="13" s="1"/>
  <c r="P35" i="13"/>
  <c r="AQ35" i="13" s="1"/>
  <c r="O35" i="13"/>
  <c r="Y35" i="13" s="1"/>
  <c r="N35" i="13"/>
  <c r="M35" i="13"/>
  <c r="E35" i="13"/>
  <c r="V34" i="13"/>
  <c r="U34" i="13"/>
  <c r="T34" i="13"/>
  <c r="S34" i="13"/>
  <c r="R34" i="13"/>
  <c r="Q34" i="13"/>
  <c r="Z34" i="13" s="1"/>
  <c r="P34" i="13"/>
  <c r="AQ34" i="13" s="1"/>
  <c r="O34" i="13"/>
  <c r="Y34" i="13" s="1"/>
  <c r="N34" i="13"/>
  <c r="M34" i="13"/>
  <c r="AD34" i="13" s="1"/>
  <c r="E34" i="13"/>
  <c r="V33" i="13"/>
  <c r="U33" i="13"/>
  <c r="T33" i="13"/>
  <c r="S33" i="13"/>
  <c r="R33" i="13"/>
  <c r="Q33" i="13"/>
  <c r="Z33" i="13" s="1"/>
  <c r="P33" i="13"/>
  <c r="AQ33" i="13" s="1"/>
  <c r="O33" i="13"/>
  <c r="Y33" i="13" s="1"/>
  <c r="N33" i="13"/>
  <c r="M33" i="13"/>
  <c r="AA33" i="13" s="1"/>
  <c r="E33" i="13"/>
  <c r="V32" i="13"/>
  <c r="U32" i="13"/>
  <c r="T32" i="13"/>
  <c r="S32" i="13"/>
  <c r="R32" i="13"/>
  <c r="Q32" i="13"/>
  <c r="Z32" i="13" s="1"/>
  <c r="P32" i="13"/>
  <c r="AQ32" i="13" s="1"/>
  <c r="O32" i="13"/>
  <c r="Y32" i="13" s="1"/>
  <c r="N32" i="13"/>
  <c r="M32" i="13"/>
  <c r="AD32" i="13" s="1"/>
  <c r="E32" i="13"/>
  <c r="V31" i="13"/>
  <c r="U31" i="13"/>
  <c r="T31" i="13"/>
  <c r="S31" i="13"/>
  <c r="R31" i="13"/>
  <c r="Q31" i="13"/>
  <c r="Z31" i="13" s="1"/>
  <c r="P31" i="13"/>
  <c r="AQ31" i="13" s="1"/>
  <c r="O31" i="13"/>
  <c r="Y31" i="13" s="1"/>
  <c r="N31" i="13"/>
  <c r="M31" i="13"/>
  <c r="AC31" i="13" s="1"/>
  <c r="E31" i="13"/>
  <c r="V30" i="13"/>
  <c r="U30" i="13"/>
  <c r="T30" i="13"/>
  <c r="S30" i="13"/>
  <c r="R30" i="13"/>
  <c r="Q30" i="13"/>
  <c r="Z30" i="13" s="1"/>
  <c r="P30" i="13"/>
  <c r="AQ30" i="13" s="1"/>
  <c r="O30" i="13"/>
  <c r="Y30" i="13" s="1"/>
  <c r="N30" i="13"/>
  <c r="M30" i="13"/>
  <c r="E30" i="13"/>
  <c r="V29" i="13"/>
  <c r="U29" i="13"/>
  <c r="T29" i="13"/>
  <c r="S29" i="13"/>
  <c r="R29" i="13"/>
  <c r="Q29" i="13"/>
  <c r="Z29" i="13" s="1"/>
  <c r="P29" i="13"/>
  <c r="AQ29" i="13" s="1"/>
  <c r="O29" i="13"/>
  <c r="Y29" i="13" s="1"/>
  <c r="N29" i="13"/>
  <c r="M29" i="13"/>
  <c r="AF29" i="13" s="1"/>
  <c r="E29" i="13"/>
  <c r="V28" i="13"/>
  <c r="U28" i="13"/>
  <c r="T28" i="13"/>
  <c r="S28" i="13"/>
  <c r="R28" i="13"/>
  <c r="Q28" i="13"/>
  <c r="Z28" i="13" s="1"/>
  <c r="P28" i="13"/>
  <c r="AQ28" i="13" s="1"/>
  <c r="O28" i="13"/>
  <c r="Y28" i="13" s="1"/>
  <c r="N28" i="13"/>
  <c r="M28" i="13"/>
  <c r="AE28" i="13" s="1"/>
  <c r="E28" i="13"/>
  <c r="V27" i="13"/>
  <c r="U27" i="13"/>
  <c r="T27" i="13"/>
  <c r="S27" i="13"/>
  <c r="R27" i="13"/>
  <c r="Q27" i="13"/>
  <c r="Z27" i="13" s="1"/>
  <c r="P27" i="13"/>
  <c r="AQ27" i="13" s="1"/>
  <c r="O27" i="13"/>
  <c r="Y27" i="13" s="1"/>
  <c r="N27" i="13"/>
  <c r="M27" i="13"/>
  <c r="E27" i="13"/>
  <c r="V26" i="13"/>
  <c r="U26" i="13"/>
  <c r="T26" i="13"/>
  <c r="S26" i="13"/>
  <c r="R26" i="13"/>
  <c r="Q26" i="13"/>
  <c r="Z26" i="13" s="1"/>
  <c r="P26" i="13"/>
  <c r="AQ26" i="13" s="1"/>
  <c r="O26" i="13"/>
  <c r="Y26" i="13" s="1"/>
  <c r="N26" i="13"/>
  <c r="M26" i="13"/>
  <c r="E26" i="13"/>
  <c r="V25" i="13"/>
  <c r="U25" i="13"/>
  <c r="T25" i="13"/>
  <c r="S25" i="13"/>
  <c r="R25" i="13"/>
  <c r="Q25" i="13"/>
  <c r="Z25" i="13" s="1"/>
  <c r="P25" i="13"/>
  <c r="AQ25" i="13" s="1"/>
  <c r="O25" i="13"/>
  <c r="Y25" i="13" s="1"/>
  <c r="N25" i="13"/>
  <c r="M25" i="13"/>
  <c r="AE25" i="13" s="1"/>
  <c r="E25" i="13"/>
  <c r="V24" i="13"/>
  <c r="U24" i="13"/>
  <c r="T24" i="13"/>
  <c r="S24" i="13"/>
  <c r="R24" i="13"/>
  <c r="Q24" i="13"/>
  <c r="Z24" i="13" s="1"/>
  <c r="P24" i="13"/>
  <c r="AQ24" i="13" s="1"/>
  <c r="O24" i="13"/>
  <c r="Y24" i="13" s="1"/>
  <c r="N24" i="13"/>
  <c r="M24" i="13"/>
  <c r="AF24" i="13" s="1"/>
  <c r="E24" i="13"/>
  <c r="V23" i="13"/>
  <c r="U23" i="13"/>
  <c r="T23" i="13"/>
  <c r="S23" i="13"/>
  <c r="R23" i="13"/>
  <c r="Q23" i="13"/>
  <c r="Z23" i="13" s="1"/>
  <c r="P23" i="13"/>
  <c r="AQ23" i="13" s="1"/>
  <c r="O23" i="13"/>
  <c r="Y23" i="13" s="1"/>
  <c r="N23" i="13"/>
  <c r="M23" i="13"/>
  <c r="AA23" i="13" s="1"/>
  <c r="E23" i="13"/>
  <c r="V22" i="13"/>
  <c r="U22" i="13"/>
  <c r="T22" i="13"/>
  <c r="S22" i="13"/>
  <c r="R22" i="13"/>
  <c r="Q22" i="13"/>
  <c r="Z22" i="13" s="1"/>
  <c r="P22" i="13"/>
  <c r="AQ22" i="13" s="1"/>
  <c r="O22" i="13"/>
  <c r="Y22" i="13" s="1"/>
  <c r="N22" i="13"/>
  <c r="M22" i="13"/>
  <c r="AC22" i="13" s="1"/>
  <c r="E22" i="13"/>
  <c r="V21" i="13"/>
  <c r="U21" i="13"/>
  <c r="T21" i="13"/>
  <c r="S21" i="13"/>
  <c r="R21" i="13"/>
  <c r="Q21" i="13"/>
  <c r="Z21" i="13" s="1"/>
  <c r="P21" i="13"/>
  <c r="AQ21" i="13" s="1"/>
  <c r="O21" i="13"/>
  <c r="Y21" i="13" s="1"/>
  <c r="N21" i="13"/>
  <c r="M21" i="13"/>
  <c r="AF21" i="13" s="1"/>
  <c r="E21" i="13"/>
  <c r="V20" i="13"/>
  <c r="U20" i="13"/>
  <c r="T20" i="13"/>
  <c r="S20" i="13"/>
  <c r="R20" i="13"/>
  <c r="Q20" i="13"/>
  <c r="Z20" i="13" s="1"/>
  <c r="P20" i="13"/>
  <c r="AQ20" i="13" s="1"/>
  <c r="O20" i="13"/>
  <c r="Y20" i="13" s="1"/>
  <c r="N20" i="13"/>
  <c r="M20" i="13"/>
  <c r="E20" i="13"/>
  <c r="V19" i="13"/>
  <c r="U19" i="13"/>
  <c r="T19" i="13"/>
  <c r="S19" i="13"/>
  <c r="R19" i="13"/>
  <c r="Q19" i="13"/>
  <c r="Z19" i="13" s="1"/>
  <c r="P19" i="13"/>
  <c r="AQ19" i="13" s="1"/>
  <c r="O19" i="13"/>
  <c r="Y19" i="13" s="1"/>
  <c r="N19" i="13"/>
  <c r="M19" i="13"/>
  <c r="AF19" i="13" s="1"/>
  <c r="E19" i="13"/>
  <c r="V18" i="13"/>
  <c r="U18" i="13"/>
  <c r="T18" i="13"/>
  <c r="S18" i="13"/>
  <c r="R18" i="13"/>
  <c r="Q18" i="13"/>
  <c r="Z18" i="13" s="1"/>
  <c r="P18" i="13"/>
  <c r="AQ18" i="13" s="1"/>
  <c r="O18" i="13"/>
  <c r="Y18" i="13" s="1"/>
  <c r="N18" i="13"/>
  <c r="M18" i="13"/>
  <c r="AF18" i="13" s="1"/>
  <c r="E18" i="13"/>
  <c r="V17" i="13"/>
  <c r="U17" i="13"/>
  <c r="T17" i="13"/>
  <c r="S17" i="13"/>
  <c r="R17" i="13"/>
  <c r="Q17" i="13"/>
  <c r="Z17" i="13" s="1"/>
  <c r="P17" i="13"/>
  <c r="AQ17" i="13" s="1"/>
  <c r="O17" i="13"/>
  <c r="Y17" i="13" s="1"/>
  <c r="N17" i="13"/>
  <c r="M17" i="13"/>
  <c r="E17" i="13"/>
  <c r="V16" i="13"/>
  <c r="U16" i="13"/>
  <c r="T16" i="13"/>
  <c r="S16" i="13"/>
  <c r="R16" i="13"/>
  <c r="Q16" i="13"/>
  <c r="Z16" i="13" s="1"/>
  <c r="P16" i="13"/>
  <c r="AQ16" i="13" s="1"/>
  <c r="O16" i="13"/>
  <c r="Y16" i="13" s="1"/>
  <c r="N16" i="13"/>
  <c r="M16" i="13"/>
  <c r="AD16" i="13" s="1"/>
  <c r="E16" i="13"/>
  <c r="V15" i="13"/>
  <c r="U15" i="13"/>
  <c r="T15" i="13"/>
  <c r="S15" i="13"/>
  <c r="R15" i="13"/>
  <c r="R8" i="13" s="1"/>
  <c r="Q15" i="13"/>
  <c r="Z15" i="13" s="1"/>
  <c r="P15" i="13"/>
  <c r="AQ15" i="13" s="1"/>
  <c r="O15" i="13"/>
  <c r="Y15" i="13" s="1"/>
  <c r="N15" i="13"/>
  <c r="M15" i="13"/>
  <c r="E15" i="13"/>
  <c r="V14" i="13"/>
  <c r="U14" i="13"/>
  <c r="T14" i="13"/>
  <c r="S14" i="13"/>
  <c r="R14" i="13"/>
  <c r="Q14" i="13"/>
  <c r="Z14" i="13" s="1"/>
  <c r="P14" i="13"/>
  <c r="AQ14" i="13" s="1"/>
  <c r="O14" i="13"/>
  <c r="Y14" i="13" s="1"/>
  <c r="N14" i="13"/>
  <c r="M14" i="13"/>
  <c r="AD14" i="13" s="1"/>
  <c r="E14" i="13"/>
  <c r="V13" i="13"/>
  <c r="U13" i="13"/>
  <c r="T13" i="13"/>
  <c r="S13" i="13"/>
  <c r="R13" i="13"/>
  <c r="Q13" i="13"/>
  <c r="Z13" i="13" s="1"/>
  <c r="P13" i="13"/>
  <c r="AQ13" i="13" s="1"/>
  <c r="O13" i="13"/>
  <c r="Y13" i="13" s="1"/>
  <c r="N13" i="13"/>
  <c r="M13" i="13"/>
  <c r="AB13" i="13" s="1"/>
  <c r="E13" i="13"/>
  <c r="V12" i="13"/>
  <c r="U12" i="13"/>
  <c r="T12" i="13"/>
  <c r="S12" i="13"/>
  <c r="S8" i="13" s="1"/>
  <c r="R12" i="13"/>
  <c r="Q12" i="13"/>
  <c r="Z12" i="13" s="1"/>
  <c r="P12" i="13"/>
  <c r="AQ12" i="13" s="1"/>
  <c r="O12" i="13"/>
  <c r="Y12" i="13" s="1"/>
  <c r="N12" i="13"/>
  <c r="M12" i="13"/>
  <c r="E12" i="13"/>
  <c r="V11" i="13"/>
  <c r="U11" i="13"/>
  <c r="T11" i="13"/>
  <c r="S11" i="13"/>
  <c r="R11" i="13"/>
  <c r="Q11" i="13"/>
  <c r="Z11" i="13" s="1"/>
  <c r="P11" i="13"/>
  <c r="AQ11" i="13" s="1"/>
  <c r="O11" i="13"/>
  <c r="Y11" i="13" s="1"/>
  <c r="N11" i="13"/>
  <c r="M11" i="13"/>
  <c r="AF11" i="13" s="1"/>
  <c r="E11" i="13"/>
  <c r="V10" i="13"/>
  <c r="U10" i="13"/>
  <c r="T10" i="13"/>
  <c r="S10" i="13"/>
  <c r="R10" i="13"/>
  <c r="Q10" i="13"/>
  <c r="Z10" i="13" s="1"/>
  <c r="P10" i="13"/>
  <c r="AQ10" i="13" s="1"/>
  <c r="O10" i="13"/>
  <c r="Y10" i="13" s="1"/>
  <c r="N10" i="13"/>
  <c r="M10" i="13"/>
  <c r="AF10" i="13" s="1"/>
  <c r="E10" i="13"/>
  <c r="V9" i="13"/>
  <c r="U9" i="13"/>
  <c r="T9" i="13"/>
  <c r="T8" i="13" s="1"/>
  <c r="S9" i="13"/>
  <c r="R9" i="13"/>
  <c r="Q9" i="13"/>
  <c r="Z9" i="13" s="1"/>
  <c r="P9" i="13"/>
  <c r="AQ9" i="13" s="1"/>
  <c r="O9" i="13"/>
  <c r="Y9" i="13" s="1"/>
  <c r="N9" i="13"/>
  <c r="M9" i="13"/>
  <c r="AC9" i="13" s="1"/>
  <c r="E9" i="13"/>
  <c r="X11" i="13" l="1"/>
  <c r="E27" i="18"/>
  <c r="AN11" i="13"/>
  <c r="X44" i="13"/>
  <c r="E60" i="18"/>
  <c r="E17" i="19"/>
  <c r="AN44" i="13"/>
  <c r="AD48" i="13"/>
  <c r="AF48" i="13"/>
  <c r="X61" i="13"/>
  <c r="E77" i="18"/>
  <c r="AN61" i="13"/>
  <c r="X78" i="13"/>
  <c r="AN78" i="13"/>
  <c r="E94" i="18"/>
  <c r="U8" i="13"/>
  <c r="U97" i="13" s="1"/>
  <c r="X14" i="13"/>
  <c r="AN14" i="13"/>
  <c r="E30" i="18"/>
  <c r="X30" i="13"/>
  <c r="E46" i="18"/>
  <c r="AN30" i="13"/>
  <c r="X48" i="13"/>
  <c r="AN48" i="13"/>
  <c r="E64" i="18"/>
  <c r="X64" i="13"/>
  <c r="E80" i="18"/>
  <c r="AN64" i="13"/>
  <c r="X81" i="13"/>
  <c r="AN81" i="13"/>
  <c r="E97" i="18"/>
  <c r="Q8" i="13"/>
  <c r="V8" i="13"/>
  <c r="V97" i="13" s="1"/>
  <c r="X17" i="13"/>
  <c r="AN17" i="13"/>
  <c r="E33" i="18"/>
  <c r="X33" i="13"/>
  <c r="AN33" i="13"/>
  <c r="E49" i="18"/>
  <c r="X51" i="13"/>
  <c r="E67" i="18"/>
  <c r="AN51" i="13"/>
  <c r="X67" i="13"/>
  <c r="E83" i="18"/>
  <c r="AN67" i="13"/>
  <c r="X84" i="13"/>
  <c r="AN84" i="13"/>
  <c r="E100" i="18"/>
  <c r="X20" i="13"/>
  <c r="AN20" i="13"/>
  <c r="E36" i="18"/>
  <c r="X36" i="13"/>
  <c r="AN36" i="13"/>
  <c r="E52" i="18"/>
  <c r="X71" i="13"/>
  <c r="E87" i="18"/>
  <c r="AN71" i="13"/>
  <c r="X23" i="13"/>
  <c r="AN23" i="13"/>
  <c r="E39" i="18"/>
  <c r="X40" i="13"/>
  <c r="N39" i="13"/>
  <c r="X10" i="13"/>
  <c r="E26" i="18"/>
  <c r="AN10" i="13"/>
  <c r="X26" i="13"/>
  <c r="E42" i="18"/>
  <c r="AN26" i="13"/>
  <c r="Y40" i="13"/>
  <c r="Y39" i="13" s="1"/>
  <c r="O39" i="13"/>
  <c r="X77" i="13"/>
  <c r="E93" i="18"/>
  <c r="AN77" i="13"/>
  <c r="X13" i="13"/>
  <c r="E29" i="18"/>
  <c r="AN13" i="13"/>
  <c r="X29" i="13"/>
  <c r="E45" i="18"/>
  <c r="AN29" i="13"/>
  <c r="X47" i="13"/>
  <c r="AN47" i="13"/>
  <c r="E63" i="18"/>
  <c r="X63" i="13"/>
  <c r="E79" i="18"/>
  <c r="AN63" i="13"/>
  <c r="O89" i="13"/>
  <c r="AQ8" i="13"/>
  <c r="X16" i="13"/>
  <c r="AN16" i="13"/>
  <c r="E32" i="18"/>
  <c r="X32" i="13"/>
  <c r="AN32" i="13"/>
  <c r="E48" i="18"/>
  <c r="Z40" i="13"/>
  <c r="Z39" i="13" s="1"/>
  <c r="Q39" i="13"/>
  <c r="N45" i="13"/>
  <c r="P89" i="13"/>
  <c r="AQ45" i="13"/>
  <c r="O45" i="13"/>
  <c r="S39" i="13"/>
  <c r="S97" i="13" s="1"/>
  <c r="M93" i="13"/>
  <c r="T39" i="13"/>
  <c r="T97" i="13" s="1"/>
  <c r="M45" i="13"/>
  <c r="Q45" i="13"/>
  <c r="Y8" i="13"/>
  <c r="Y97" i="13" s="1"/>
  <c r="M39" i="13"/>
  <c r="X82" i="13"/>
  <c r="E98" i="18"/>
  <c r="AN82" i="13"/>
  <c r="Z90" i="13"/>
  <c r="Z89" i="13" s="1"/>
  <c r="Q89" i="13"/>
  <c r="AQ93" i="13"/>
  <c r="Z8" i="13"/>
  <c r="X52" i="13"/>
  <c r="AN52" i="13"/>
  <c r="E68" i="18"/>
  <c r="X68" i="13"/>
  <c r="AN68" i="13"/>
  <c r="E84" i="18"/>
  <c r="AE72" i="13"/>
  <c r="AA72" i="13"/>
  <c r="X85" i="13"/>
  <c r="AN85" i="13"/>
  <c r="E101" i="18"/>
  <c r="R89" i="13"/>
  <c r="Z93" i="13"/>
  <c r="M8" i="13"/>
  <c r="X21" i="13"/>
  <c r="E37" i="18"/>
  <c r="AN21" i="13"/>
  <c r="X37" i="13"/>
  <c r="E53" i="18"/>
  <c r="AN37" i="13"/>
  <c r="Z45" i="13"/>
  <c r="X55" i="13"/>
  <c r="AN55" i="13"/>
  <c r="E71" i="18"/>
  <c r="X72" i="13"/>
  <c r="AN72" i="13"/>
  <c r="E88" i="18"/>
  <c r="X88" i="13"/>
  <c r="E104" i="18"/>
  <c r="AN88" i="13"/>
  <c r="S89" i="13"/>
  <c r="N8" i="13"/>
  <c r="X27" i="13"/>
  <c r="E43" i="18"/>
  <c r="AN27" i="13"/>
  <c r="X96" i="13"/>
  <c r="AN96" i="13"/>
  <c r="E112" i="18"/>
  <c r="P8" i="13"/>
  <c r="P97" i="13" s="1"/>
  <c r="X54" i="13"/>
  <c r="AN54" i="13"/>
  <c r="E70" i="18"/>
  <c r="X57" i="13"/>
  <c r="AN57" i="13"/>
  <c r="E73" i="18"/>
  <c r="X74" i="13"/>
  <c r="AN74" i="13"/>
  <c r="E90" i="18"/>
  <c r="X91" i="13"/>
  <c r="E107" i="18"/>
  <c r="AN91" i="13"/>
  <c r="M89" i="13"/>
  <c r="P93" i="13"/>
  <c r="X43" i="13"/>
  <c r="E59" i="18"/>
  <c r="AN43" i="13"/>
  <c r="X60" i="13"/>
  <c r="E76" i="18"/>
  <c r="AN60" i="13"/>
  <c r="X95" i="13"/>
  <c r="E111" i="18"/>
  <c r="AN95" i="13"/>
  <c r="N89" i="13"/>
  <c r="Q93" i="13"/>
  <c r="AQ40" i="13"/>
  <c r="P39" i="13"/>
  <c r="Y45" i="13"/>
  <c r="R39" i="13"/>
  <c r="R97" i="13" s="1"/>
  <c r="P45" i="13"/>
  <c r="X24" i="13"/>
  <c r="E40" i="18"/>
  <c r="AN24" i="13"/>
  <c r="X41" i="13"/>
  <c r="E57" i="18"/>
  <c r="AN41" i="13"/>
  <c r="X58" i="13"/>
  <c r="AN58" i="13"/>
  <c r="E74" i="18"/>
  <c r="X75" i="13"/>
  <c r="E91" i="18"/>
  <c r="AN75" i="13"/>
  <c r="T89" i="13"/>
  <c r="X92" i="13"/>
  <c r="E108" i="18"/>
  <c r="AN92" i="13"/>
  <c r="O8" i="13"/>
  <c r="X19" i="13"/>
  <c r="AN19" i="13"/>
  <c r="E35" i="18"/>
  <c r="X35" i="13"/>
  <c r="AN35" i="13"/>
  <c r="E51" i="18"/>
  <c r="X50" i="13"/>
  <c r="E66" i="18"/>
  <c r="AN50" i="13"/>
  <c r="X66" i="13"/>
  <c r="E82" i="18"/>
  <c r="AN66" i="13"/>
  <c r="X80" i="13"/>
  <c r="AN80" i="13"/>
  <c r="E96" i="18"/>
  <c r="X22" i="13"/>
  <c r="E38" i="18"/>
  <c r="AN22" i="13"/>
  <c r="X38" i="13"/>
  <c r="AN38" i="13"/>
  <c r="E54" i="18"/>
  <c r="X53" i="13"/>
  <c r="AN53" i="13"/>
  <c r="E69" i="18"/>
  <c r="X70" i="13"/>
  <c r="AN70" i="13"/>
  <c r="E86" i="18"/>
  <c r="X83" i="13"/>
  <c r="E99" i="18"/>
  <c r="AN83" i="13"/>
  <c r="X9" i="13"/>
  <c r="X3" i="13"/>
  <c r="E25" i="18"/>
  <c r="AN9" i="13"/>
  <c r="X25" i="13"/>
  <c r="E41" i="18"/>
  <c r="AN25" i="13"/>
  <c r="X42" i="13"/>
  <c r="E58" i="18"/>
  <c r="AN42" i="13"/>
  <c r="X56" i="13"/>
  <c r="AN56" i="13"/>
  <c r="E72" i="18"/>
  <c r="X12" i="13"/>
  <c r="E28" i="18"/>
  <c r="AN12" i="13"/>
  <c r="X28" i="13"/>
  <c r="E44" i="18"/>
  <c r="AN28" i="13"/>
  <c r="X46" i="13"/>
  <c r="E19" i="19"/>
  <c r="E18" i="19" s="1"/>
  <c r="E62" i="18"/>
  <c r="AN46" i="13"/>
  <c r="X59" i="13"/>
  <c r="E75" i="18"/>
  <c r="AN59" i="13"/>
  <c r="X73" i="13"/>
  <c r="AN73" i="13"/>
  <c r="E89" i="18"/>
  <c r="X15" i="13"/>
  <c r="AN15" i="13"/>
  <c r="E31" i="18"/>
  <c r="X31" i="13"/>
  <c r="AN31" i="13"/>
  <c r="E47" i="18"/>
  <c r="X62" i="13"/>
  <c r="AN62" i="13"/>
  <c r="E78" i="18"/>
  <c r="X69" i="13"/>
  <c r="AN69" i="13"/>
  <c r="E85" i="18"/>
  <c r="X76" i="13"/>
  <c r="E92" i="18"/>
  <c r="AN76" i="13"/>
  <c r="X94" i="13"/>
  <c r="E110" i="18"/>
  <c r="AN94" i="13"/>
  <c r="N93" i="13"/>
  <c r="X90" i="13"/>
  <c r="X89" i="13" s="1"/>
  <c r="E106" i="18"/>
  <c r="E105" i="18" s="1"/>
  <c r="AN90" i="13"/>
  <c r="AN89" i="13" s="1"/>
  <c r="X18" i="13"/>
  <c r="AN18" i="13"/>
  <c r="E34" i="18"/>
  <c r="X34" i="13"/>
  <c r="AN34" i="13"/>
  <c r="E50" i="18"/>
  <c r="X49" i="13"/>
  <c r="AN49" i="13"/>
  <c r="E65" i="18"/>
  <c r="X65" i="13"/>
  <c r="E81" i="18"/>
  <c r="AN65" i="13"/>
  <c r="X79" i="13"/>
  <c r="AN79" i="13"/>
  <c r="E95" i="18"/>
  <c r="O93" i="13"/>
  <c r="W96" i="13"/>
  <c r="AE10" i="13"/>
  <c r="W13" i="13"/>
  <c r="W47" i="13"/>
  <c r="W95" i="13"/>
  <c r="AF56" i="13"/>
  <c r="W88" i="13"/>
  <c r="W12" i="13"/>
  <c r="W17" i="13"/>
  <c r="W52" i="13"/>
  <c r="W65" i="13"/>
  <c r="W48" i="13"/>
  <c r="W68" i="13"/>
  <c r="AA69" i="13"/>
  <c r="W71" i="13"/>
  <c r="AC33" i="13"/>
  <c r="AE48" i="13"/>
  <c r="W66" i="13"/>
  <c r="AC68" i="13"/>
  <c r="AB69" i="13"/>
  <c r="W49" i="13"/>
  <c r="W55" i="13"/>
  <c r="AA50" i="13"/>
  <c r="W60" i="13"/>
  <c r="W32" i="13"/>
  <c r="AB50" i="13"/>
  <c r="W19" i="13"/>
  <c r="W59" i="13"/>
  <c r="W14" i="13"/>
  <c r="AE49" i="13"/>
  <c r="W64" i="13"/>
  <c r="AE64" i="13"/>
  <c r="AD33" i="13"/>
  <c r="AH86" i="13"/>
  <c r="W33" i="13"/>
  <c r="W84" i="13"/>
  <c r="W27" i="13"/>
  <c r="AB72" i="13"/>
  <c r="W81" i="13"/>
  <c r="W31" i="13"/>
  <c r="W80" i="13"/>
  <c r="W23" i="13"/>
  <c r="W46" i="13"/>
  <c r="W54" i="13"/>
  <c r="W73" i="13"/>
  <c r="W83" i="13"/>
  <c r="W85" i="13"/>
  <c r="W78" i="13"/>
  <c r="W21" i="13"/>
  <c r="AF85" i="13"/>
  <c r="W28" i="13"/>
  <c r="AB38" i="13"/>
  <c r="W70" i="13"/>
  <c r="W38" i="13"/>
  <c r="AB52" i="13"/>
  <c r="W67" i="13"/>
  <c r="W82" i="13"/>
  <c r="W16" i="13"/>
  <c r="AD21" i="13"/>
  <c r="W36" i="13"/>
  <c r="AA38" i="13"/>
  <c r="W62" i="13"/>
  <c r="AD38" i="13"/>
  <c r="W69" i="13"/>
  <c r="AB70" i="13"/>
  <c r="W9" i="13"/>
  <c r="W53" i="13"/>
  <c r="AC20" i="13"/>
  <c r="W20" i="13"/>
  <c r="AC58" i="13"/>
  <c r="AD58" i="13"/>
  <c r="W58" i="13"/>
  <c r="AF30" i="13"/>
  <c r="AC30" i="13"/>
  <c r="W30" i="13"/>
  <c r="W90" i="13"/>
  <c r="AC15" i="13"/>
  <c r="W15" i="13"/>
  <c r="W40" i="13"/>
  <c r="W37" i="13"/>
  <c r="AD37" i="13"/>
  <c r="AE37" i="13"/>
  <c r="AF26" i="13"/>
  <c r="W26" i="13"/>
  <c r="AF76" i="13"/>
  <c r="W76" i="13"/>
  <c r="AC79" i="13"/>
  <c r="W79" i="13"/>
  <c r="AC94" i="13"/>
  <c r="W94" i="13"/>
  <c r="AE35" i="13"/>
  <c r="W35" i="13"/>
  <c r="AD35" i="13"/>
  <c r="AF43" i="13"/>
  <c r="W43" i="13"/>
  <c r="AD26" i="13"/>
  <c r="AE92" i="13"/>
  <c r="AD92" i="13"/>
  <c r="AC92" i="13"/>
  <c r="AB92" i="13"/>
  <c r="W92" i="13"/>
  <c r="AH87" i="13"/>
  <c r="W63" i="13"/>
  <c r="W77" i="13"/>
  <c r="W29" i="13"/>
  <c r="AD88" i="13"/>
  <c r="AD67" i="13"/>
  <c r="W91" i="13"/>
  <c r="W75" i="13"/>
  <c r="W11" i="13"/>
  <c r="AD36" i="13"/>
  <c r="AB66" i="13"/>
  <c r="AE67" i="13"/>
  <c r="AC73" i="13"/>
  <c r="W74" i="13"/>
  <c r="W42" i="13"/>
  <c r="W10" i="13"/>
  <c r="AB16" i="13"/>
  <c r="AA53" i="13"/>
  <c r="AD62" i="13"/>
  <c r="AC66" i="13"/>
  <c r="AD73" i="13"/>
  <c r="W57" i="13"/>
  <c r="W41" i="13"/>
  <c r="W25" i="13"/>
  <c r="W61" i="13"/>
  <c r="W44" i="13"/>
  <c r="AA31" i="13"/>
  <c r="AF42" i="13"/>
  <c r="AF31" i="13"/>
  <c r="AD53" i="13"/>
  <c r="AD66" i="13"/>
  <c r="W72" i="13"/>
  <c r="W56" i="13"/>
  <c r="W24" i="13"/>
  <c r="W22" i="13"/>
  <c r="AD22" i="13"/>
  <c r="AA18" i="13"/>
  <c r="AB51" i="13"/>
  <c r="AA82" i="13"/>
  <c r="AB91" i="13"/>
  <c r="AC25" i="13"/>
  <c r="AB29" i="13"/>
  <c r="AF34" i="13"/>
  <c r="AB82" i="13"/>
  <c r="AD91" i="13"/>
  <c r="W51" i="13"/>
  <c r="AF14" i="13"/>
  <c r="AC29" i="13"/>
  <c r="AD49" i="13"/>
  <c r="AF82" i="13"/>
  <c r="AE91" i="13"/>
  <c r="W50" i="13"/>
  <c r="W34" i="13"/>
  <c r="W18" i="13"/>
  <c r="AF49" i="13"/>
  <c r="AC51" i="13"/>
  <c r="AD51" i="13"/>
  <c r="AA55" i="13"/>
  <c r="AF58" i="13"/>
  <c r="AA30" i="13"/>
  <c r="AD31" i="13"/>
  <c r="AF51" i="13"/>
  <c r="AB53" i="13"/>
  <c r="AB55" i="13"/>
  <c r="AA56" i="13"/>
  <c r="AB57" i="13"/>
  <c r="AF16" i="13"/>
  <c r="AD28" i="13"/>
  <c r="AB30" i="13"/>
  <c r="AE31" i="13"/>
  <c r="AC53" i="13"/>
  <c r="AC55" i="13"/>
  <c r="AB56" i="13"/>
  <c r="AC57" i="13"/>
  <c r="AA66" i="13"/>
  <c r="AC67" i="13"/>
  <c r="AA91" i="13"/>
  <c r="AA92" i="13"/>
  <c r="AC23" i="13"/>
  <c r="AD74" i="13"/>
  <c r="AB84" i="13"/>
  <c r="AA96" i="13"/>
  <c r="AA35" i="13"/>
  <c r="AB96" i="13"/>
  <c r="AB35" i="13"/>
  <c r="AA36" i="13"/>
  <c r="AB37" i="13"/>
  <c r="AF46" i="13"/>
  <c r="AE69" i="13"/>
  <c r="AF74" i="13"/>
  <c r="AE75" i="13"/>
  <c r="AB79" i="13"/>
  <c r="AB88" i="13"/>
  <c r="AF92" i="13"/>
  <c r="AB94" i="13"/>
  <c r="AB93" i="13" s="1"/>
  <c r="AD95" i="13"/>
  <c r="AE96" i="13"/>
  <c r="AA74" i="13"/>
  <c r="AB11" i="13"/>
  <c r="AA46" i="13"/>
  <c r="AA37" i="13"/>
  <c r="AE46" i="13"/>
  <c r="AE74" i="13"/>
  <c r="AA79" i="13"/>
  <c r="AA88" i="13"/>
  <c r="AC95" i="13"/>
  <c r="AC26" i="13"/>
  <c r="AE34" i="13"/>
  <c r="AC35" i="13"/>
  <c r="AB36" i="13"/>
  <c r="AC37" i="13"/>
  <c r="AC60" i="13"/>
  <c r="AA70" i="13"/>
  <c r="AC88" i="13"/>
  <c r="AF96" i="13"/>
  <c r="AF15" i="13"/>
  <c r="AE81" i="13"/>
  <c r="AE38" i="13"/>
  <c r="AA9" i="13"/>
  <c r="AF38" i="13"/>
  <c r="AB40" i="13"/>
  <c r="AB42" i="13"/>
  <c r="AA44" i="13"/>
  <c r="AB46" i="13"/>
  <c r="AD57" i="13"/>
  <c r="AD60" i="13"/>
  <c r="AE62" i="13"/>
  <c r="AA64" i="13"/>
  <c r="AA75" i="13"/>
  <c r="AE78" i="13"/>
  <c r="AE95" i="13"/>
  <c r="AF81" i="13"/>
  <c r="AC50" i="13"/>
  <c r="AB9" i="13"/>
  <c r="AA10" i="13"/>
  <c r="AA14" i="13"/>
  <c r="AC40" i="13"/>
  <c r="AC42" i="13"/>
  <c r="AD43" i="13"/>
  <c r="AB44" i="13"/>
  <c r="AC46" i="13"/>
  <c r="AE57" i="13"/>
  <c r="AE60" i="13"/>
  <c r="AA61" i="13"/>
  <c r="AB64" i="13"/>
  <c r="AB75" i="13"/>
  <c r="AB76" i="13"/>
  <c r="AD9" i="13"/>
  <c r="AC10" i="13"/>
  <c r="AA13" i="13"/>
  <c r="AB14" i="13"/>
  <c r="AA20" i="13"/>
  <c r="AA21" i="13"/>
  <c r="AA22" i="13"/>
  <c r="AD40" i="13"/>
  <c r="AC41" i="13"/>
  <c r="AD42" i="13"/>
  <c r="AC44" i="13"/>
  <c r="AD46" i="13"/>
  <c r="AF57" i="13"/>
  <c r="AF59" i="13"/>
  <c r="AB61" i="13"/>
  <c r="AA63" i="13"/>
  <c r="AC64" i="13"/>
  <c r="AD75" i="13"/>
  <c r="AC76" i="13"/>
  <c r="AD77" i="13"/>
  <c r="AE9" i="13"/>
  <c r="AD10" i="13"/>
  <c r="AE14" i="13"/>
  <c r="AB20" i="13"/>
  <c r="AC21" i="13"/>
  <c r="AB22" i="13"/>
  <c r="AD24" i="13"/>
  <c r="AE40" i="13"/>
  <c r="AE39" i="13" s="1"/>
  <c r="AA58" i="13"/>
  <c r="AC61" i="13"/>
  <c r="AD64" i="13"/>
  <c r="AD76" i="13"/>
  <c r="AC80" i="13"/>
  <c r="AF65" i="13"/>
  <c r="AF72" i="13"/>
  <c r="AA28" i="13"/>
  <c r="AA65" i="13"/>
  <c r="AF75" i="13"/>
  <c r="AE76" i="13"/>
  <c r="AA85" i="13"/>
  <c r="AD96" i="13"/>
  <c r="AE65" i="13"/>
  <c r="AE24" i="13"/>
  <c r="AB47" i="13"/>
  <c r="AA15" i="13"/>
  <c r="AB18" i="13"/>
  <c r="AE22" i="13"/>
  <c r="AA26" i="13"/>
  <c r="AB28" i="13"/>
  <c r="AC34" i="13"/>
  <c r="AC47" i="13"/>
  <c r="AA48" i="13"/>
  <c r="AE58" i="13"/>
  <c r="AB65" i="13"/>
  <c r="AA81" i="13"/>
  <c r="AB85" i="13"/>
  <c r="AE15" i="13"/>
  <c r="AD81" i="13"/>
  <c r="AF9" i="13"/>
  <c r="AA11" i="13"/>
  <c r="AD15" i="13"/>
  <c r="AA16" i="13"/>
  <c r="AF22" i="13"/>
  <c r="AB23" i="13"/>
  <c r="AA25" i="13"/>
  <c r="AB26" i="13"/>
  <c r="AC28" i="13"/>
  <c r="AB33" i="13"/>
  <c r="AB48" i="13"/>
  <c r="AA49" i="13"/>
  <c r="AD65" i="13"/>
  <c r="AB81" i="13"/>
  <c r="AF27" i="13"/>
  <c r="AD27" i="13"/>
  <c r="AC27" i="13"/>
  <c r="AB27" i="13"/>
  <c r="AA27" i="13"/>
  <c r="AE27" i="13"/>
  <c r="AA90" i="13"/>
  <c r="AD90" i="13"/>
  <c r="AC90" i="13"/>
  <c r="AB90" i="13"/>
  <c r="AD12" i="13"/>
  <c r="AB12" i="13"/>
  <c r="AA12" i="13"/>
  <c r="AE13" i="13"/>
  <c r="AD13" i="13"/>
  <c r="AC13" i="13"/>
  <c r="AF60" i="13"/>
  <c r="AD78" i="13"/>
  <c r="AC78" i="13"/>
  <c r="AB83" i="13"/>
  <c r="AA83" i="13"/>
  <c r="AC83" i="13"/>
  <c r="AA19" i="13"/>
  <c r="AE19" i="13"/>
  <c r="AD19" i="13"/>
  <c r="AC19" i="13"/>
  <c r="AB19" i="13"/>
  <c r="AF94" i="13"/>
  <c r="AF93" i="13" s="1"/>
  <c r="AD94" i="13"/>
  <c r="AE94" i="13"/>
  <c r="AE93" i="13" s="1"/>
  <c r="AA94" i="13"/>
  <c r="AA93" i="13" s="1"/>
  <c r="AB10" i="13"/>
  <c r="AF35" i="13"/>
  <c r="AF80" i="13"/>
  <c r="AE80" i="13"/>
  <c r="AB80" i="13"/>
  <c r="AA80" i="13"/>
  <c r="AB95" i="13"/>
  <c r="AA95" i="13"/>
  <c r="AF90" i="13"/>
  <c r="AF54" i="13"/>
  <c r="AE54" i="13"/>
  <c r="AD54" i="13"/>
  <c r="AA17" i="13"/>
  <c r="AE32" i="13"/>
  <c r="AE43" i="13"/>
  <c r="AA71" i="13"/>
  <c r="AD71" i="13"/>
  <c r="AC71" i="13"/>
  <c r="AB71" i="13"/>
  <c r="AF32" i="13"/>
  <c r="AF77" i="13"/>
  <c r="AF13" i="13"/>
  <c r="AF84" i="13"/>
  <c r="AE84" i="13"/>
  <c r="AD84" i="13"/>
  <c r="AC84" i="13"/>
  <c r="AB24" i="13"/>
  <c r="AA24" i="13"/>
  <c r="AC24" i="13"/>
  <c r="AA34" i="13"/>
  <c r="AB34" i="13"/>
  <c r="AF20" i="13"/>
  <c r="AE20" i="13"/>
  <c r="AE29" i="13"/>
  <c r="AD29" i="13"/>
  <c r="AA29" i="13"/>
  <c r="AA68" i="13"/>
  <c r="AD20" i="13"/>
  <c r="AB25" i="13"/>
  <c r="AF25" i="13"/>
  <c r="AD25" i="13"/>
  <c r="AC62" i="13"/>
  <c r="AB62" i="13"/>
  <c r="AA62" i="13"/>
  <c r="AD30" i="13"/>
  <c r="AF40" i="13"/>
  <c r="AE90" i="13"/>
  <c r="AC12" i="13"/>
  <c r="AH12" i="13" s="1"/>
  <c r="AB17" i="13"/>
  <c r="AE30" i="13"/>
  <c r="AD52" i="13"/>
  <c r="AF52" i="13"/>
  <c r="AE52" i="13"/>
  <c r="AC52" i="13"/>
  <c r="AA59" i="13"/>
  <c r="AE71" i="13"/>
  <c r="AE12" i="13"/>
  <c r="AC17" i="13"/>
  <c r="AB59" i="13"/>
  <c r="AF71" i="13"/>
  <c r="AF12" i="13"/>
  <c r="AD17" i="13"/>
  <c r="AA32" i="13"/>
  <c r="AA43" i="13"/>
  <c r="AA54" i="13"/>
  <c r="AC59" i="13"/>
  <c r="AA77" i="13"/>
  <c r="AD83" i="13"/>
  <c r="AE17" i="13"/>
  <c r="AB32" i="13"/>
  <c r="AB43" i="13"/>
  <c r="AB54" i="13"/>
  <c r="AD59" i="13"/>
  <c r="AB77" i="13"/>
  <c r="AA78" i="13"/>
  <c r="AE83" i="13"/>
  <c r="AF17" i="13"/>
  <c r="AC32" i="13"/>
  <c r="AF37" i="13"/>
  <c r="AA42" i="13"/>
  <c r="AC43" i="13"/>
  <c r="AC54" i="13"/>
  <c r="AE59" i="13"/>
  <c r="AB60" i="13"/>
  <c r="AC77" i="13"/>
  <c r="AB78" i="13"/>
  <c r="AF83" i="13"/>
  <c r="AE47" i="13"/>
  <c r="AD47" i="13"/>
  <c r="AA47" i="13"/>
  <c r="AD55" i="13"/>
  <c r="AC18" i="13"/>
  <c r="AD23" i="13"/>
  <c r="AE55" i="13"/>
  <c r="AD18" i="13"/>
  <c r="AF28" i="13"/>
  <c r="AF79" i="13"/>
  <c r="AE79" i="13"/>
  <c r="AD79" i="13"/>
  <c r="AD11" i="13"/>
  <c r="AE18" i="13"/>
  <c r="AE21" i="13"/>
  <c r="AF33" i="13"/>
  <c r="AB41" i="13"/>
  <c r="AA41" i="13"/>
  <c r="AF41" i="13"/>
  <c r="AD50" i="13"/>
  <c r="AF64" i="13"/>
  <c r="AB73" i="13"/>
  <c r="AA73" i="13"/>
  <c r="AE73" i="13"/>
  <c r="AD61" i="13"/>
  <c r="AF73" i="13"/>
  <c r="AE85" i="13"/>
  <c r="AD85" i="13"/>
  <c r="AE66" i="13"/>
  <c r="AF66" i="13"/>
  <c r="AC11" i="13"/>
  <c r="AE23" i="13"/>
  <c r="AE33" i="13"/>
  <c r="AF55" i="13"/>
  <c r="AB21" i="13"/>
  <c r="AF23" i="13"/>
  <c r="AE41" i="13"/>
  <c r="AE11" i="13"/>
  <c r="AE50" i="13"/>
  <c r="AE70" i="13"/>
  <c r="AF70" i="13"/>
  <c r="AD70" i="13"/>
  <c r="AC16" i="13"/>
  <c r="AE26" i="13"/>
  <c r="AD44" i="13"/>
  <c r="AC48" i="13"/>
  <c r="AE61" i="13"/>
  <c r="AB67" i="13"/>
  <c r="AA67" i="13"/>
  <c r="AF67" i="13"/>
  <c r="AA76" i="13"/>
  <c r="AE88" i="13"/>
  <c r="AC14" i="13"/>
  <c r="AE16" i="13"/>
  <c r="AE44" i="13"/>
  <c r="AE53" i="13"/>
  <c r="AE82" i="13"/>
  <c r="AD82" i="13"/>
  <c r="AC82" i="13"/>
  <c r="AF88" i="13"/>
  <c r="AF63" i="13"/>
  <c r="AD63" i="13"/>
  <c r="AE63" i="13"/>
  <c r="AC63" i="13"/>
  <c r="AF36" i="13"/>
  <c r="AE36" i="13"/>
  <c r="AC36" i="13"/>
  <c r="AE51" i="13"/>
  <c r="AC91" i="13"/>
  <c r="AC72" i="13"/>
  <c r="AB15" i="13"/>
  <c r="AB31" i="13"/>
  <c r="AB49" i="13"/>
  <c r="AD56" i="13"/>
  <c r="AB58" i="13"/>
  <c r="AD72" i="13"/>
  <c r="AB74" i="13"/>
  <c r="AC56" i="13"/>
  <c r="AD45" i="13" l="1"/>
  <c r="AN8" i="13"/>
  <c r="AF8" i="13"/>
  <c r="W8" i="13"/>
  <c r="O97" i="13"/>
  <c r="W39" i="13"/>
  <c r="AN93" i="13"/>
  <c r="AC39" i="13"/>
  <c r="AE8" i="13"/>
  <c r="AE97" i="13" s="1"/>
  <c r="AF45" i="13"/>
  <c r="Z97" i="13"/>
  <c r="AC8" i="13"/>
  <c r="AC97" i="13" s="1"/>
  <c r="W93" i="13"/>
  <c r="AA45" i="13"/>
  <c r="AD89" i="13"/>
  <c r="Q97" i="13"/>
  <c r="X39" i="13"/>
  <c r="X45" i="13"/>
  <c r="E24" i="18"/>
  <c r="AC45" i="13"/>
  <c r="AQ97" i="13"/>
  <c r="AB45" i="13"/>
  <c r="W3" i="13"/>
  <c r="X8" i="13"/>
  <c r="AD39" i="13"/>
  <c r="D28" i="18"/>
  <c r="F28" i="18" s="1"/>
  <c r="L28" i="18" s="1"/>
  <c r="M28" i="18" s="1"/>
  <c r="AO12" i="13"/>
  <c r="AP12" i="13" s="1"/>
  <c r="AT12" i="13" s="1"/>
  <c r="AU12" i="13" s="1"/>
  <c r="AE89" i="13"/>
  <c r="AB39" i="13"/>
  <c r="E109" i="18"/>
  <c r="AF39" i="13"/>
  <c r="AD93" i="13"/>
  <c r="X93" i="13"/>
  <c r="AT40" i="13"/>
  <c r="AQ39" i="13"/>
  <c r="AA8" i="13"/>
  <c r="W89" i="13"/>
  <c r="N97" i="13"/>
  <c r="AB8" i="13"/>
  <c r="AE45" i="13"/>
  <c r="W45" i="13"/>
  <c r="AB89" i="13"/>
  <c r="M97" i="13"/>
  <c r="AC89" i="13"/>
  <c r="AD8" i="13"/>
  <c r="AC93" i="13"/>
  <c r="AA39" i="13"/>
  <c r="AF89" i="13"/>
  <c r="E16" i="19"/>
  <c r="E15" i="19" s="1"/>
  <c r="E20" i="19" s="1"/>
  <c r="AA89" i="13"/>
  <c r="AN45" i="13"/>
  <c r="AN40" i="13"/>
  <c r="AN39" i="13" s="1"/>
  <c r="E61" i="18"/>
  <c r="E56" i="18"/>
  <c r="E55" i="18" s="1"/>
  <c r="AH31" i="13"/>
  <c r="AH68" i="13"/>
  <c r="AH67" i="13"/>
  <c r="AH9" i="13"/>
  <c r="AH53" i="13"/>
  <c r="AH38" i="13"/>
  <c r="AH80" i="13"/>
  <c r="AH16" i="13"/>
  <c r="AH70" i="13"/>
  <c r="AH69" i="13"/>
  <c r="AH52" i="13"/>
  <c r="AH84" i="13"/>
  <c r="AH33" i="13"/>
  <c r="AH48" i="13"/>
  <c r="AH10" i="13"/>
  <c r="AH92" i="13"/>
  <c r="AH36" i="13"/>
  <c r="AH60" i="13"/>
  <c r="AH78" i="13"/>
  <c r="AH14" i="13"/>
  <c r="AH72" i="13"/>
  <c r="AH54" i="13"/>
  <c r="AH27" i="13"/>
  <c r="AH21" i="13"/>
  <c r="AH46" i="13"/>
  <c r="AH71" i="13"/>
  <c r="AH85" i="13"/>
  <c r="AH82" i="13"/>
  <c r="AH73" i="13"/>
  <c r="AH32" i="13"/>
  <c r="AH81" i="13"/>
  <c r="AH66" i="13"/>
  <c r="AH49" i="13"/>
  <c r="AH88" i="13"/>
  <c r="AH55" i="13"/>
  <c r="AH64" i="13"/>
  <c r="AH83" i="13"/>
  <c r="AH17" i="13"/>
  <c r="AH65" i="13"/>
  <c r="AH61" i="13"/>
  <c r="AH62" i="13"/>
  <c r="AH28" i="13"/>
  <c r="AH47" i="13"/>
  <c r="AH59" i="13"/>
  <c r="AH13" i="13"/>
  <c r="AH95" i="13"/>
  <c r="AH19" i="13"/>
  <c r="AH23" i="13"/>
  <c r="AH96" i="13"/>
  <c r="AH42" i="13"/>
  <c r="AH37" i="13"/>
  <c r="AH30" i="13"/>
  <c r="AH44" i="13"/>
  <c r="AH43" i="13"/>
  <c r="AH11" i="13"/>
  <c r="AH79" i="13"/>
  <c r="AH25" i="13"/>
  <c r="AH75" i="13"/>
  <c r="AH41" i="13"/>
  <c r="AH91" i="13"/>
  <c r="AH58" i="13"/>
  <c r="AH35" i="13"/>
  <c r="AH40" i="13"/>
  <c r="AH50" i="13"/>
  <c r="AH29" i="13"/>
  <c r="AH26" i="13"/>
  <c r="AH22" i="13"/>
  <c r="AH77" i="13"/>
  <c r="AH20" i="13"/>
  <c r="AH90" i="13"/>
  <c r="AH24" i="13"/>
  <c r="AH63" i="13"/>
  <c r="AH94" i="13"/>
  <c r="AH15" i="13"/>
  <c r="AH51" i="13"/>
  <c r="AH74" i="13"/>
  <c r="AH18" i="13"/>
  <c r="AH76" i="13"/>
  <c r="AH34" i="13"/>
  <c r="AH56" i="13"/>
  <c r="D79" i="18" l="1"/>
  <c r="F79" i="18" s="1"/>
  <c r="L79" i="18" s="1"/>
  <c r="M79" i="18" s="1"/>
  <c r="AO63" i="13"/>
  <c r="AP63" i="13" s="1"/>
  <c r="AT63" i="13" s="1"/>
  <c r="AU63" i="13" s="1"/>
  <c r="D95" i="18"/>
  <c r="F95" i="18" s="1"/>
  <c r="L95" i="18" s="1"/>
  <c r="M95" i="18" s="1"/>
  <c r="AO79" i="13"/>
  <c r="AP79" i="13" s="1"/>
  <c r="AT79" i="13" s="1"/>
  <c r="AU79" i="13" s="1"/>
  <c r="D77" i="18"/>
  <c r="F77" i="18" s="1"/>
  <c r="L77" i="18" s="1"/>
  <c r="M77" i="18" s="1"/>
  <c r="AO61" i="13"/>
  <c r="AP61" i="13" s="1"/>
  <c r="AT61" i="13" s="1"/>
  <c r="AU61" i="13" s="1"/>
  <c r="D37" i="18"/>
  <c r="F37" i="18" s="1"/>
  <c r="L37" i="18" s="1"/>
  <c r="M37" i="18" s="1"/>
  <c r="AO21" i="13"/>
  <c r="AP21" i="13" s="1"/>
  <c r="AT21" i="13" s="1"/>
  <c r="AU21" i="13" s="1"/>
  <c r="D32" i="18"/>
  <c r="F32" i="18" s="1"/>
  <c r="L32" i="18" s="1"/>
  <c r="M32" i="18" s="1"/>
  <c r="AO16" i="13"/>
  <c r="AP16" i="13" s="1"/>
  <c r="AT16" i="13" s="1"/>
  <c r="AU16" i="13" s="1"/>
  <c r="D40" i="18"/>
  <c r="F40" i="18" s="1"/>
  <c r="L40" i="18" s="1"/>
  <c r="M40" i="18" s="1"/>
  <c r="AO24" i="13"/>
  <c r="AP24" i="13" s="1"/>
  <c r="AT24" i="13" s="1"/>
  <c r="AU24" i="13" s="1"/>
  <c r="D43" i="18"/>
  <c r="F43" i="18" s="1"/>
  <c r="L43" i="18" s="1"/>
  <c r="M43" i="18" s="1"/>
  <c r="AO27" i="13"/>
  <c r="AP27" i="13" s="1"/>
  <c r="AT27" i="13" s="1"/>
  <c r="AU27" i="13" s="1"/>
  <c r="D106" i="18"/>
  <c r="AH89" i="13"/>
  <c r="AO90" i="13"/>
  <c r="D60" i="18"/>
  <c r="F60" i="18" s="1"/>
  <c r="L60" i="18" s="1"/>
  <c r="M60" i="18" s="1"/>
  <c r="D17" i="19"/>
  <c r="F17" i="19" s="1"/>
  <c r="L17" i="19" s="1"/>
  <c r="M17" i="19" s="1"/>
  <c r="AO44" i="13"/>
  <c r="AP44" i="13" s="1"/>
  <c r="AT44" i="13" s="1"/>
  <c r="AU44" i="13" s="1"/>
  <c r="D88" i="18"/>
  <c r="F88" i="18" s="1"/>
  <c r="L88" i="18" s="1"/>
  <c r="M88" i="18" s="1"/>
  <c r="AO72" i="13"/>
  <c r="AP72" i="13" s="1"/>
  <c r="AT72" i="13" s="1"/>
  <c r="AU72" i="13"/>
  <c r="D46" i="18"/>
  <c r="F46" i="18" s="1"/>
  <c r="L46" i="18" s="1"/>
  <c r="M46" i="18" s="1"/>
  <c r="AO30" i="13"/>
  <c r="AP30" i="13" s="1"/>
  <c r="AT30" i="13" s="1"/>
  <c r="AU30" i="13" s="1"/>
  <c r="D30" i="18"/>
  <c r="F30" i="18" s="1"/>
  <c r="L30" i="18" s="1"/>
  <c r="M30" i="18" s="1"/>
  <c r="AO14" i="13"/>
  <c r="AP14" i="13" s="1"/>
  <c r="AT14" i="13" s="1"/>
  <c r="AU14" i="13" s="1"/>
  <c r="D38" i="18"/>
  <c r="F38" i="18" s="1"/>
  <c r="L38" i="18" s="1"/>
  <c r="M38" i="18" s="1"/>
  <c r="AO22" i="13"/>
  <c r="AP22" i="13" s="1"/>
  <c r="AT22" i="13" s="1"/>
  <c r="AU22" i="13" s="1"/>
  <c r="D53" i="18"/>
  <c r="F53" i="18" s="1"/>
  <c r="L53" i="18" s="1"/>
  <c r="M53" i="18" s="1"/>
  <c r="AO37" i="13"/>
  <c r="AP37" i="13" s="1"/>
  <c r="AT37" i="13" s="1"/>
  <c r="AU37" i="13" s="1"/>
  <c r="D71" i="18"/>
  <c r="F71" i="18" s="1"/>
  <c r="L71" i="18" s="1"/>
  <c r="M71" i="18" s="1"/>
  <c r="AO55" i="13"/>
  <c r="AP55" i="13" s="1"/>
  <c r="AT55" i="13" s="1"/>
  <c r="AU55" i="13" s="1"/>
  <c r="D94" i="18"/>
  <c r="F94" i="18" s="1"/>
  <c r="L94" i="18" s="1"/>
  <c r="M94" i="18" s="1"/>
  <c r="AO78" i="13"/>
  <c r="AP78" i="13" s="1"/>
  <c r="AT78" i="13" s="1"/>
  <c r="AU78" i="13" s="1"/>
  <c r="D83" i="18"/>
  <c r="F83" i="18" s="1"/>
  <c r="L83" i="18" s="1"/>
  <c r="M83" i="18" s="1"/>
  <c r="AO67" i="13"/>
  <c r="AP67" i="13" s="1"/>
  <c r="AT67" i="13" s="1"/>
  <c r="AU67" i="13" s="1"/>
  <c r="AD97" i="13"/>
  <c r="D72" i="18"/>
  <c r="F72" i="18" s="1"/>
  <c r="L72" i="18" s="1"/>
  <c r="M72" i="18" s="1"/>
  <c r="AO56" i="13"/>
  <c r="AP56" i="13" s="1"/>
  <c r="AT56" i="13" s="1"/>
  <c r="AU56" i="13"/>
  <c r="D112" i="18"/>
  <c r="F112" i="18" s="1"/>
  <c r="L112" i="18" s="1"/>
  <c r="M112" i="18" s="1"/>
  <c r="AO96" i="13"/>
  <c r="AP96" i="13" s="1"/>
  <c r="AT96" i="13" s="1"/>
  <c r="AU96" i="13" s="1"/>
  <c r="D52" i="18"/>
  <c r="F52" i="18" s="1"/>
  <c r="L52" i="18" s="1"/>
  <c r="M52" i="18" s="1"/>
  <c r="AO36" i="13"/>
  <c r="AP36" i="13" s="1"/>
  <c r="AT36" i="13" s="1"/>
  <c r="AU36" i="13" s="1"/>
  <c r="D50" i="18"/>
  <c r="F50" i="18" s="1"/>
  <c r="L50" i="18" s="1"/>
  <c r="M50" i="18" s="1"/>
  <c r="AO34" i="13"/>
  <c r="AP34" i="13" s="1"/>
  <c r="AT34" i="13" s="1"/>
  <c r="AU34" i="13" s="1"/>
  <c r="D92" i="18"/>
  <c r="F92" i="18" s="1"/>
  <c r="L92" i="18" s="1"/>
  <c r="M92" i="18" s="1"/>
  <c r="AO76" i="13"/>
  <c r="AP76" i="13" s="1"/>
  <c r="AT76" i="13" s="1"/>
  <c r="AU76" i="13" s="1"/>
  <c r="D35" i="18"/>
  <c r="F35" i="18" s="1"/>
  <c r="L35" i="18" s="1"/>
  <c r="M35" i="18" s="1"/>
  <c r="AO19" i="13"/>
  <c r="AP19" i="13" s="1"/>
  <c r="AT19" i="13" s="1"/>
  <c r="AU19" i="13" s="1"/>
  <c r="D26" i="18"/>
  <c r="F26" i="18" s="1"/>
  <c r="L26" i="18" s="1"/>
  <c r="M26" i="18" s="1"/>
  <c r="AO10" i="13"/>
  <c r="AP10" i="13" s="1"/>
  <c r="AT10" i="13" s="1"/>
  <c r="AU10" i="13" s="1"/>
  <c r="D51" i="18"/>
  <c r="F51" i="18" s="1"/>
  <c r="L51" i="18" s="1"/>
  <c r="M51" i="18" s="1"/>
  <c r="AO35" i="13"/>
  <c r="AP35" i="13" s="1"/>
  <c r="AT35" i="13" s="1"/>
  <c r="AU35" i="13" s="1"/>
  <c r="D64" i="18"/>
  <c r="F64" i="18" s="1"/>
  <c r="L64" i="18" s="1"/>
  <c r="M64" i="18" s="1"/>
  <c r="AO48" i="13"/>
  <c r="AP48" i="13" s="1"/>
  <c r="AT48" i="13" s="1"/>
  <c r="AU48" i="13" s="1"/>
  <c r="W97" i="13"/>
  <c r="D34" i="18"/>
  <c r="F34" i="18" s="1"/>
  <c r="L34" i="18" s="1"/>
  <c r="M34" i="18" s="1"/>
  <c r="AO18" i="13"/>
  <c r="AP18" i="13" s="1"/>
  <c r="AT18" i="13" s="1"/>
  <c r="AU18" i="13" s="1"/>
  <c r="D74" i="18"/>
  <c r="F74" i="18" s="1"/>
  <c r="L74" i="18" s="1"/>
  <c r="M74" i="18" s="1"/>
  <c r="AO58" i="13"/>
  <c r="AP58" i="13" s="1"/>
  <c r="AT58" i="13" s="1"/>
  <c r="AU58" i="13" s="1"/>
  <c r="D29" i="18"/>
  <c r="F29" i="18" s="1"/>
  <c r="L29" i="18" s="1"/>
  <c r="M29" i="18" s="1"/>
  <c r="AO13" i="13"/>
  <c r="AP13" i="13" s="1"/>
  <c r="AT13" i="13" s="1"/>
  <c r="AU13" i="13" s="1"/>
  <c r="D89" i="18"/>
  <c r="F89" i="18" s="1"/>
  <c r="L89" i="18" s="1"/>
  <c r="M89" i="18" s="1"/>
  <c r="AO73" i="13"/>
  <c r="AP73" i="13" s="1"/>
  <c r="AT73" i="13" s="1"/>
  <c r="AU73" i="13" s="1"/>
  <c r="D49" i="18"/>
  <c r="F49" i="18" s="1"/>
  <c r="L49" i="18" s="1"/>
  <c r="M49" i="18" s="1"/>
  <c r="AO33" i="13"/>
  <c r="AP33" i="13" s="1"/>
  <c r="AT33" i="13" s="1"/>
  <c r="AU33" i="13" s="1"/>
  <c r="AF97" i="13"/>
  <c r="D107" i="18"/>
  <c r="F107" i="18" s="1"/>
  <c r="L107" i="18" s="1"/>
  <c r="M107" i="18" s="1"/>
  <c r="AO91" i="13"/>
  <c r="AP91" i="13" s="1"/>
  <c r="AT91" i="13" s="1"/>
  <c r="AU91" i="13" s="1"/>
  <c r="D98" i="18"/>
  <c r="F98" i="18" s="1"/>
  <c r="L98" i="18" s="1"/>
  <c r="M98" i="18" s="1"/>
  <c r="AO82" i="13"/>
  <c r="AP82" i="13" s="1"/>
  <c r="AT82" i="13" s="1"/>
  <c r="AU82" i="13" s="1"/>
  <c r="D101" i="18"/>
  <c r="F101" i="18" s="1"/>
  <c r="L101" i="18" s="1"/>
  <c r="M101" i="18" s="1"/>
  <c r="AO85" i="13"/>
  <c r="AP85" i="13" s="1"/>
  <c r="AT85" i="13" s="1"/>
  <c r="AU85" i="13" s="1"/>
  <c r="D110" i="18"/>
  <c r="AH93" i="13"/>
  <c r="AO94" i="13"/>
  <c r="D41" i="18"/>
  <c r="F41" i="18" s="1"/>
  <c r="L41" i="18" s="1"/>
  <c r="M41" i="18" s="1"/>
  <c r="AO25" i="13"/>
  <c r="AP25" i="13" s="1"/>
  <c r="AT25" i="13" s="1"/>
  <c r="AU25" i="13" s="1"/>
  <c r="D78" i="18"/>
  <c r="F78" i="18" s="1"/>
  <c r="L78" i="18" s="1"/>
  <c r="M78" i="18" s="1"/>
  <c r="AO62" i="13"/>
  <c r="AP62" i="13" s="1"/>
  <c r="AT62" i="13" s="1"/>
  <c r="AU62" i="13" s="1"/>
  <c r="D19" i="19"/>
  <c r="AU46" i="13"/>
  <c r="D62" i="18"/>
  <c r="AH45" i="13"/>
  <c r="AO46" i="13"/>
  <c r="AP46" i="13" s="1"/>
  <c r="D86" i="18"/>
  <c r="F86" i="18" s="1"/>
  <c r="L86" i="18" s="1"/>
  <c r="M86" i="18" s="1"/>
  <c r="AO70" i="13"/>
  <c r="AP70" i="13" s="1"/>
  <c r="AT70" i="13" s="1"/>
  <c r="AU70" i="13" s="1"/>
  <c r="D27" i="18"/>
  <c r="F27" i="18" s="1"/>
  <c r="L27" i="18" s="1"/>
  <c r="M27" i="18" s="1"/>
  <c r="AO11" i="13"/>
  <c r="AP11" i="13" s="1"/>
  <c r="AT11" i="13" s="1"/>
  <c r="AU11" i="13" s="1"/>
  <c r="D81" i="18"/>
  <c r="F81" i="18" s="1"/>
  <c r="L81" i="18" s="1"/>
  <c r="M81" i="18" s="1"/>
  <c r="AO65" i="13"/>
  <c r="AP65" i="13" s="1"/>
  <c r="AT65" i="13" s="1"/>
  <c r="AU65" i="13" s="1"/>
  <c r="D96" i="18"/>
  <c r="F96" i="18" s="1"/>
  <c r="L96" i="18" s="1"/>
  <c r="M96" i="18" s="1"/>
  <c r="AO80" i="13"/>
  <c r="AP80" i="13" s="1"/>
  <c r="AT80" i="13" s="1"/>
  <c r="AU80" i="13" s="1"/>
  <c r="AA97" i="13"/>
  <c r="D59" i="18"/>
  <c r="F59" i="18" s="1"/>
  <c r="L59" i="18" s="1"/>
  <c r="M59" i="18" s="1"/>
  <c r="AO43" i="13"/>
  <c r="AP43" i="13" s="1"/>
  <c r="AT43" i="13" s="1"/>
  <c r="AU43" i="13" s="1"/>
  <c r="D33" i="18"/>
  <c r="F33" i="18" s="1"/>
  <c r="L33" i="18" s="1"/>
  <c r="M33" i="18" s="1"/>
  <c r="AO17" i="13"/>
  <c r="AP17" i="13" s="1"/>
  <c r="AT17" i="13" s="1"/>
  <c r="AU17" i="13" s="1"/>
  <c r="D70" i="18"/>
  <c r="F70" i="18" s="1"/>
  <c r="L70" i="18" s="1"/>
  <c r="M70" i="18" s="1"/>
  <c r="AO54" i="13"/>
  <c r="AP54" i="13" s="1"/>
  <c r="AT54" i="13" s="1"/>
  <c r="AU54" i="13" s="1"/>
  <c r="D54" i="18"/>
  <c r="F54" i="18" s="1"/>
  <c r="L54" i="18" s="1"/>
  <c r="M54" i="18" s="1"/>
  <c r="AO38" i="13"/>
  <c r="AP38" i="13" s="1"/>
  <c r="AT38" i="13" s="1"/>
  <c r="AU38" i="13" s="1"/>
  <c r="D36" i="18"/>
  <c r="F36" i="18" s="1"/>
  <c r="L36" i="18" s="1"/>
  <c r="M36" i="18" s="1"/>
  <c r="AO20" i="13"/>
  <c r="AP20" i="13" s="1"/>
  <c r="AT20" i="13" s="1"/>
  <c r="AU20" i="13" s="1"/>
  <c r="D99" i="18"/>
  <c r="F99" i="18" s="1"/>
  <c r="L99" i="18" s="1"/>
  <c r="M99" i="18" s="1"/>
  <c r="AO83" i="13"/>
  <c r="AP83" i="13" s="1"/>
  <c r="AT83" i="13" s="1"/>
  <c r="AU83" i="13" s="1"/>
  <c r="D69" i="18"/>
  <c r="F69" i="18" s="1"/>
  <c r="L69" i="18" s="1"/>
  <c r="M69" i="18" s="1"/>
  <c r="AO53" i="13"/>
  <c r="AP53" i="13" s="1"/>
  <c r="AT53" i="13" s="1"/>
  <c r="AU53" i="13" s="1"/>
  <c r="AT39" i="13"/>
  <c r="D93" i="18"/>
  <c r="F93" i="18" s="1"/>
  <c r="L93" i="18" s="1"/>
  <c r="M93" i="18" s="1"/>
  <c r="AO77" i="13"/>
  <c r="AP77" i="13" s="1"/>
  <c r="AT77" i="13" s="1"/>
  <c r="AU77" i="13" s="1"/>
  <c r="D80" i="18"/>
  <c r="F80" i="18" s="1"/>
  <c r="L80" i="18" s="1"/>
  <c r="M80" i="18" s="1"/>
  <c r="AO64" i="13"/>
  <c r="AP64" i="13" s="1"/>
  <c r="AT64" i="13" s="1"/>
  <c r="AU64" i="13" s="1"/>
  <c r="D25" i="18"/>
  <c r="AO9" i="13"/>
  <c r="AH8" i="13"/>
  <c r="D42" i="18"/>
  <c r="F42" i="18" s="1"/>
  <c r="L42" i="18" s="1"/>
  <c r="M42" i="18" s="1"/>
  <c r="AO26" i="13"/>
  <c r="AP26" i="13" s="1"/>
  <c r="AT26" i="13" s="1"/>
  <c r="AU26" i="13" s="1"/>
  <c r="D58" i="18"/>
  <c r="F58" i="18" s="1"/>
  <c r="L58" i="18" s="1"/>
  <c r="M58" i="18" s="1"/>
  <c r="AO42" i="13"/>
  <c r="AP42" i="13" s="1"/>
  <c r="AT42" i="13" s="1"/>
  <c r="AU42" i="13" s="1"/>
  <c r="D104" i="18"/>
  <c r="F104" i="18" s="1"/>
  <c r="L104" i="18" s="1"/>
  <c r="M104" i="18" s="1"/>
  <c r="AO88" i="13"/>
  <c r="AP88" i="13" s="1"/>
  <c r="AT88" i="13" s="1"/>
  <c r="AU88" i="13" s="1"/>
  <c r="D76" i="18"/>
  <c r="F76" i="18" s="1"/>
  <c r="L76" i="18" s="1"/>
  <c r="M76" i="18" s="1"/>
  <c r="AO60" i="13"/>
  <c r="AP60" i="13" s="1"/>
  <c r="AT60" i="13" s="1"/>
  <c r="AU60" i="13" s="1"/>
  <c r="D84" i="18"/>
  <c r="F84" i="18" s="1"/>
  <c r="L84" i="18" s="1"/>
  <c r="M84" i="18" s="1"/>
  <c r="AO68" i="13"/>
  <c r="AP68" i="13" s="1"/>
  <c r="AT68" i="13" s="1"/>
  <c r="AU68" i="13" s="1"/>
  <c r="D45" i="18"/>
  <c r="F45" i="18" s="1"/>
  <c r="L45" i="18" s="1"/>
  <c r="M45" i="18" s="1"/>
  <c r="AO29" i="13"/>
  <c r="AP29" i="13" s="1"/>
  <c r="AT29" i="13" s="1"/>
  <c r="AU29" i="13" s="1"/>
  <c r="D65" i="18"/>
  <c r="F65" i="18" s="1"/>
  <c r="L65" i="18" s="1"/>
  <c r="M65" i="18" s="1"/>
  <c r="AO49" i="13"/>
  <c r="AP49" i="13" s="1"/>
  <c r="AT49" i="13" s="1"/>
  <c r="AU49" i="13" s="1"/>
  <c r="D47" i="18"/>
  <c r="F47" i="18" s="1"/>
  <c r="L47" i="18" s="1"/>
  <c r="M47" i="18" s="1"/>
  <c r="AO31" i="13"/>
  <c r="AP31" i="13" s="1"/>
  <c r="AT31" i="13" s="1"/>
  <c r="AU31" i="13" s="1"/>
  <c r="D66" i="18"/>
  <c r="F66" i="18" s="1"/>
  <c r="L66" i="18" s="1"/>
  <c r="M66" i="18" s="1"/>
  <c r="AO50" i="13"/>
  <c r="AP50" i="13" s="1"/>
  <c r="AT50" i="13" s="1"/>
  <c r="AU50" i="13" s="1"/>
  <c r="D39" i="18"/>
  <c r="F39" i="18" s="1"/>
  <c r="L39" i="18" s="1"/>
  <c r="M39" i="18" s="1"/>
  <c r="AO23" i="13"/>
  <c r="AP23" i="13" s="1"/>
  <c r="AT23" i="13" s="1"/>
  <c r="AU23" i="13" s="1"/>
  <c r="D82" i="18"/>
  <c r="F82" i="18" s="1"/>
  <c r="L82" i="18" s="1"/>
  <c r="M82" i="18" s="1"/>
  <c r="AO66" i="13"/>
  <c r="AP66" i="13" s="1"/>
  <c r="AT66" i="13" s="1"/>
  <c r="AU66" i="13" s="1"/>
  <c r="D108" i="18"/>
  <c r="F108" i="18" s="1"/>
  <c r="L108" i="18" s="1"/>
  <c r="M108" i="18" s="1"/>
  <c r="AO92" i="13"/>
  <c r="AP92" i="13" s="1"/>
  <c r="AT92" i="13" s="1"/>
  <c r="AU92" i="13" s="1"/>
  <c r="D56" i="18"/>
  <c r="D16" i="19"/>
  <c r="AH39" i="13"/>
  <c r="AO40" i="13"/>
  <c r="AP40" i="13" s="1"/>
  <c r="AU40" i="13"/>
  <c r="D97" i="18"/>
  <c r="F97" i="18" s="1"/>
  <c r="L97" i="18" s="1"/>
  <c r="M97" i="18" s="1"/>
  <c r="AO81" i="13"/>
  <c r="AP81" i="13" s="1"/>
  <c r="AT81" i="13" s="1"/>
  <c r="AU81" i="13" s="1"/>
  <c r="D73" i="18"/>
  <c r="F73" i="18" s="1"/>
  <c r="L73" i="18" s="1"/>
  <c r="M73" i="18" s="1"/>
  <c r="AO57" i="13"/>
  <c r="AP57" i="13" s="1"/>
  <c r="AT57" i="13" s="1"/>
  <c r="AU57" i="13" s="1"/>
  <c r="D111" i="18"/>
  <c r="F111" i="18" s="1"/>
  <c r="L111" i="18" s="1"/>
  <c r="M111" i="18" s="1"/>
  <c r="AO95" i="13"/>
  <c r="AP95" i="13" s="1"/>
  <c r="AT95" i="13" s="1"/>
  <c r="AU95" i="13" s="1"/>
  <c r="D48" i="18"/>
  <c r="F48" i="18" s="1"/>
  <c r="L48" i="18" s="1"/>
  <c r="M48" i="18" s="1"/>
  <c r="AO32" i="13"/>
  <c r="AP32" i="13" s="1"/>
  <c r="AT32" i="13" s="1"/>
  <c r="AU32" i="13" s="1"/>
  <c r="E113" i="18"/>
  <c r="D90" i="18"/>
  <c r="F90" i="18" s="1"/>
  <c r="L90" i="18" s="1"/>
  <c r="M90" i="18" s="1"/>
  <c r="AO74" i="13"/>
  <c r="AP74" i="13" s="1"/>
  <c r="AT74" i="13" s="1"/>
  <c r="AU74" i="13" s="1"/>
  <c r="D75" i="18"/>
  <c r="F75" i="18" s="1"/>
  <c r="L75" i="18" s="1"/>
  <c r="M75" i="18" s="1"/>
  <c r="AO59" i="13"/>
  <c r="AP59" i="13" s="1"/>
  <c r="AT59" i="13" s="1"/>
  <c r="AU59" i="13" s="1"/>
  <c r="D100" i="18"/>
  <c r="F100" i="18" s="1"/>
  <c r="L100" i="18" s="1"/>
  <c r="M100" i="18" s="1"/>
  <c r="AO84" i="13"/>
  <c r="AP84" i="13" s="1"/>
  <c r="AT84" i="13" s="1"/>
  <c r="AU84" i="13" s="1"/>
  <c r="AN97" i="13"/>
  <c r="D67" i="18"/>
  <c r="F67" i="18" s="1"/>
  <c r="L67" i="18" s="1"/>
  <c r="M67" i="18" s="1"/>
  <c r="AO51" i="13"/>
  <c r="AP51" i="13" s="1"/>
  <c r="AT51" i="13" s="1"/>
  <c r="AU51" i="13" s="1"/>
  <c r="D57" i="18"/>
  <c r="F57" i="18" s="1"/>
  <c r="L57" i="18" s="1"/>
  <c r="M57" i="18" s="1"/>
  <c r="AO41" i="13"/>
  <c r="AP41" i="13" s="1"/>
  <c r="AT41" i="13" s="1"/>
  <c r="AU41" i="13" s="1"/>
  <c r="D63" i="18"/>
  <c r="F63" i="18" s="1"/>
  <c r="L63" i="18" s="1"/>
  <c r="M63" i="18" s="1"/>
  <c r="AO47" i="13"/>
  <c r="AP47" i="13" s="1"/>
  <c r="AT47" i="13" s="1"/>
  <c r="D68" i="18"/>
  <c r="F68" i="18" s="1"/>
  <c r="L68" i="18" s="1"/>
  <c r="M68" i="18" s="1"/>
  <c r="AO52" i="13"/>
  <c r="AP52" i="13" s="1"/>
  <c r="AT52" i="13" s="1"/>
  <c r="AU52" i="13" s="1"/>
  <c r="D31" i="18"/>
  <c r="F31" i="18" s="1"/>
  <c r="L31" i="18" s="1"/>
  <c r="M31" i="18" s="1"/>
  <c r="AO15" i="13"/>
  <c r="AP15" i="13" s="1"/>
  <c r="AT15" i="13" s="1"/>
  <c r="AU15" i="13" s="1"/>
  <c r="D91" i="18"/>
  <c r="F91" i="18" s="1"/>
  <c r="L91" i="18" s="1"/>
  <c r="M91" i="18" s="1"/>
  <c r="AO75" i="13"/>
  <c r="AP75" i="13" s="1"/>
  <c r="AT75" i="13" s="1"/>
  <c r="AU75" i="13" s="1"/>
  <c r="D44" i="18"/>
  <c r="F44" i="18" s="1"/>
  <c r="L44" i="18" s="1"/>
  <c r="M44" i="18" s="1"/>
  <c r="AO28" i="13"/>
  <c r="AP28" i="13" s="1"/>
  <c r="AT28" i="13" s="1"/>
  <c r="AU28" i="13" s="1"/>
  <c r="D87" i="18"/>
  <c r="F87" i="18" s="1"/>
  <c r="L87" i="18" s="1"/>
  <c r="M87" i="18" s="1"/>
  <c r="AO71" i="13"/>
  <c r="AP71" i="13" s="1"/>
  <c r="AT71" i="13" s="1"/>
  <c r="AU71" i="13" s="1"/>
  <c r="D85" i="18"/>
  <c r="F85" i="18" s="1"/>
  <c r="L85" i="18" s="1"/>
  <c r="M85" i="18" s="1"/>
  <c r="AO69" i="13"/>
  <c r="AP69" i="13" s="1"/>
  <c r="AT69" i="13" s="1"/>
  <c r="AU69" i="13" s="1"/>
  <c r="AB97" i="13"/>
  <c r="X97" i="13"/>
  <c r="Z14" i="7"/>
  <c r="AA14" i="7" s="1"/>
  <c r="Z15" i="7"/>
  <c r="AA15" i="7" s="1"/>
  <c r="Z16" i="7"/>
  <c r="AA16" i="7" s="1"/>
  <c r="Z17" i="7"/>
  <c r="AA17" i="7" s="1"/>
  <c r="Z18" i="7"/>
  <c r="AA18" i="7" s="1"/>
  <c r="Z19" i="7"/>
  <c r="AA19" i="7" s="1"/>
  <c r="Z20" i="7"/>
  <c r="AA20" i="7" s="1"/>
  <c r="Z21" i="7"/>
  <c r="AA21" i="7" s="1"/>
  <c r="Z13" i="7"/>
  <c r="D55" i="18" l="1"/>
  <c r="F56" i="18"/>
  <c r="D109" i="18"/>
  <c r="F110" i="18"/>
  <c r="AP45" i="13"/>
  <c r="AH97" i="13"/>
  <c r="AP94" i="13"/>
  <c r="AO93" i="13"/>
  <c r="F106" i="18"/>
  <c r="D105" i="18"/>
  <c r="AU47" i="13"/>
  <c r="AU45" i="13" s="1"/>
  <c r="AT45" i="13"/>
  <c r="AP9" i="13"/>
  <c r="AO97" i="13"/>
  <c r="D61" i="18"/>
  <c r="F62" i="18"/>
  <c r="F25" i="18"/>
  <c r="D24" i="18"/>
  <c r="AU39" i="13"/>
  <c r="F19" i="19"/>
  <c r="D18" i="19"/>
  <c r="AP39" i="13"/>
  <c r="F16" i="19"/>
  <c r="D15" i="19"/>
  <c r="D20" i="19" s="1"/>
  <c r="AP90" i="13"/>
  <c r="AO89" i="13"/>
  <c r="AA13" i="7"/>
  <c r="AA22" i="7" s="1"/>
  <c r="Z22" i="7"/>
  <c r="G13" i="7"/>
  <c r="AT90" i="13" l="1"/>
  <c r="AP89" i="13"/>
  <c r="L106" i="18"/>
  <c r="F105" i="18"/>
  <c r="F15" i="19"/>
  <c r="L16" i="19"/>
  <c r="AP93" i="13"/>
  <c r="AT94" i="13"/>
  <c r="L19" i="19"/>
  <c r="F18" i="19"/>
  <c r="AT9" i="13"/>
  <c r="AP8" i="13"/>
  <c r="AP97" i="13" s="1"/>
  <c r="R15" i="15" s="1"/>
  <c r="R17" i="15" s="1"/>
  <c r="L110" i="18"/>
  <c r="F109" i="18"/>
  <c r="D113" i="18"/>
  <c r="L25" i="18"/>
  <c r="F24" i="18"/>
  <c r="L56" i="18"/>
  <c r="F55" i="18"/>
  <c r="L62" i="18"/>
  <c r="F61" i="18"/>
  <c r="F14" i="7"/>
  <c r="F22" i="7" s="1"/>
  <c r="M25" i="18" l="1"/>
  <c r="L24" i="18"/>
  <c r="M110" i="18"/>
  <c r="M109" i="18" s="1"/>
  <c r="L109" i="18"/>
  <c r="AU9" i="13"/>
  <c r="AU8" i="13" s="1"/>
  <c r="AT8" i="13"/>
  <c r="M19" i="19"/>
  <c r="L18" i="19"/>
  <c r="AU94" i="13"/>
  <c r="AU93" i="13" s="1"/>
  <c r="AU3" i="13" s="1"/>
  <c r="AT93" i="13"/>
  <c r="M16" i="19"/>
  <c r="M15" i="19" s="1"/>
  <c r="L15" i="19"/>
  <c r="L20" i="19" s="1"/>
  <c r="L61" i="18"/>
  <c r="M62" i="18"/>
  <c r="M61" i="18" s="1"/>
  <c r="M106" i="18"/>
  <c r="M105" i="18" s="1"/>
  <c r="L105" i="18"/>
  <c r="M56" i="18"/>
  <c r="M55" i="18" s="1"/>
  <c r="L55" i="18"/>
  <c r="F113" i="18"/>
  <c r="AT89" i="13"/>
  <c r="AU90" i="13"/>
  <c r="AU89" i="13" s="1"/>
  <c r="W29" i="10"/>
  <c r="D105" i="1"/>
  <c r="J16" i="1"/>
  <c r="J26" i="1"/>
  <c r="D104" i="1"/>
  <c r="I9" i="12"/>
  <c r="M9" i="12" s="1"/>
  <c r="O9" i="12" s="1"/>
  <c r="I10" i="12"/>
  <c r="M10" i="12" s="1"/>
  <c r="O10" i="12" s="1"/>
  <c r="I11" i="12"/>
  <c r="I12" i="12"/>
  <c r="I8" i="12"/>
  <c r="E13" i="12"/>
  <c r="G12" i="12"/>
  <c r="M11" i="12"/>
  <c r="O11" i="12" s="1"/>
  <c r="G11" i="12"/>
  <c r="G10" i="12"/>
  <c r="G9" i="12"/>
  <c r="G8" i="12"/>
  <c r="AT97" i="13" l="1"/>
  <c r="AU97" i="13"/>
  <c r="M24" i="18"/>
  <c r="L113" i="18"/>
  <c r="M113" i="18" s="1"/>
  <c r="M12" i="12"/>
  <c r="O12" i="12" s="1"/>
  <c r="I13" i="12"/>
  <c r="M13" i="12" s="1"/>
  <c r="M8" i="12"/>
  <c r="O8" i="12" s="1"/>
  <c r="O13" i="12" l="1"/>
  <c r="CE32" i="1"/>
  <c r="CE33" i="1"/>
  <c r="CE31" i="1"/>
  <c r="D106" i="1" l="1"/>
  <c r="G21" i="7" s="1"/>
  <c r="E106" i="1"/>
  <c r="F106" i="1"/>
  <c r="G106" i="1"/>
  <c r="I20" i="7" s="1"/>
  <c r="AD20" i="7" s="1"/>
  <c r="I106" i="1"/>
  <c r="K20" i="7" s="1"/>
  <c r="J106" i="1"/>
  <c r="K106" i="1"/>
  <c r="L106" i="1"/>
  <c r="M106" i="1"/>
  <c r="AG20" i="7" l="1"/>
  <c r="O21" i="7"/>
  <c r="O20" i="7"/>
  <c r="N21" i="7"/>
  <c r="N20" i="7"/>
  <c r="K21" i="7"/>
  <c r="H106" i="1"/>
  <c r="H20" i="7"/>
  <c r="R20" i="7" s="1"/>
  <c r="M21" i="7"/>
  <c r="M20" i="7"/>
  <c r="I21" i="7"/>
  <c r="AD21" i="7" s="1"/>
  <c r="L21" i="7"/>
  <c r="L20" i="7"/>
  <c r="H21" i="7"/>
  <c r="R21" i="7" s="1"/>
  <c r="G14" i="7"/>
  <c r="E94" i="5"/>
  <c r="E95" i="5"/>
  <c r="E96" i="5"/>
  <c r="AI86" i="5"/>
  <c r="AM86" i="5" s="1"/>
  <c r="AI87" i="5"/>
  <c r="AM87" i="5" s="1"/>
  <c r="J21" i="7" l="1"/>
  <c r="S21" i="7" s="1"/>
  <c r="J20" i="7"/>
  <c r="S20" i="7" s="1"/>
  <c r="U20" i="7" l="1"/>
  <c r="E14" i="19"/>
  <c r="E13" i="19" s="1"/>
  <c r="E21" i="19" s="1"/>
  <c r="E22" i="18"/>
  <c r="U21" i="7"/>
  <c r="E23" i="18"/>
  <c r="AB20" i="7"/>
  <c r="AC20" i="7" s="1"/>
  <c r="AH20" i="7"/>
  <c r="AF86" i="5"/>
  <c r="AF87" i="5"/>
  <c r="AE86" i="5"/>
  <c r="AE87" i="5"/>
  <c r="AD86" i="5"/>
  <c r="AD87" i="5"/>
  <c r="AC86" i="5"/>
  <c r="AC87" i="5"/>
  <c r="AB86" i="5"/>
  <c r="AB87" i="5"/>
  <c r="AA86" i="5"/>
  <c r="AA87" i="5"/>
  <c r="Z86" i="5"/>
  <c r="Z87" i="5"/>
  <c r="Y86" i="5"/>
  <c r="Y87" i="5"/>
  <c r="X86" i="5"/>
  <c r="X87" i="5"/>
  <c r="E86" i="5"/>
  <c r="E87" i="5"/>
  <c r="W86" i="5"/>
  <c r="W87" i="5"/>
  <c r="E91" i="5"/>
  <c r="E92" i="5"/>
  <c r="E90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8" i="5"/>
  <c r="E46" i="5"/>
  <c r="E41" i="5"/>
  <c r="E42" i="5"/>
  <c r="E43" i="5"/>
  <c r="E44" i="5"/>
  <c r="E40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9" i="5"/>
  <c r="AB21" i="7" l="1"/>
  <c r="AC21" i="7" s="1"/>
  <c r="AG21" i="7" s="1"/>
  <c r="AH21" i="7" s="1"/>
  <c r="D23" i="18"/>
  <c r="F23" i="18" s="1"/>
  <c r="L23" i="18" s="1"/>
  <c r="M23" i="18" s="1"/>
  <c r="D14" i="19"/>
  <c r="D22" i="18"/>
  <c r="F22" i="18" s="1"/>
  <c r="L22" i="18" s="1"/>
  <c r="M22" i="18" s="1"/>
  <c r="AG87" i="5"/>
  <c r="AN87" i="5" s="1"/>
  <c r="AG86" i="5"/>
  <c r="AN86" i="5" s="1"/>
  <c r="D13" i="19" l="1"/>
  <c r="D21" i="19" s="1"/>
  <c r="F14" i="19"/>
  <c r="D16" i="1"/>
  <c r="M16" i="5" s="1"/>
  <c r="AB16" i="5" s="1"/>
  <c r="S16" i="5"/>
  <c r="AG14" i="1"/>
  <c r="D11" i="1"/>
  <c r="M11" i="5" s="1"/>
  <c r="AD11" i="5" s="1"/>
  <c r="D15" i="1"/>
  <c r="M15" i="5" s="1"/>
  <c r="W15" i="5" s="1"/>
  <c r="D19" i="1"/>
  <c r="M19" i="5" s="1"/>
  <c r="W19" i="5" s="1"/>
  <c r="D20" i="1"/>
  <c r="M20" i="5" s="1"/>
  <c r="AD20" i="5" s="1"/>
  <c r="D22" i="1"/>
  <c r="M22" i="5" s="1"/>
  <c r="AE22" i="5" s="1"/>
  <c r="D26" i="1"/>
  <c r="M26" i="5" s="1"/>
  <c r="AD26" i="5" s="1"/>
  <c r="D28" i="1"/>
  <c r="M28" i="5" s="1"/>
  <c r="W28" i="5" s="1"/>
  <c r="D29" i="1"/>
  <c r="D31" i="1"/>
  <c r="M31" i="5" s="1"/>
  <c r="AC31" i="5" s="1"/>
  <c r="D32" i="1"/>
  <c r="M32" i="5" s="1"/>
  <c r="AC32" i="5" s="1"/>
  <c r="D34" i="1"/>
  <c r="M34" i="5" s="1"/>
  <c r="AB34" i="5" s="1"/>
  <c r="D35" i="1"/>
  <c r="M35" i="5" s="1"/>
  <c r="AB35" i="5" s="1"/>
  <c r="D36" i="1"/>
  <c r="M36" i="5" s="1"/>
  <c r="AB36" i="5" s="1"/>
  <c r="D37" i="1"/>
  <c r="M37" i="5" s="1"/>
  <c r="W37" i="5" s="1"/>
  <c r="D38" i="1"/>
  <c r="M38" i="5" s="1"/>
  <c r="AE38" i="5" s="1"/>
  <c r="D51" i="1"/>
  <c r="M51" i="5" s="1"/>
  <c r="AA51" i="5" s="1"/>
  <c r="D52" i="1"/>
  <c r="M52" i="5" s="1"/>
  <c r="AB52" i="5" s="1"/>
  <c r="D53" i="1"/>
  <c r="M53" i="5" s="1"/>
  <c r="AE53" i="5" s="1"/>
  <c r="D56" i="1"/>
  <c r="M56" i="5" s="1"/>
  <c r="AA56" i="5" s="1"/>
  <c r="D57" i="1"/>
  <c r="M57" i="5" s="1"/>
  <c r="D58" i="1"/>
  <c r="M58" i="5" s="1"/>
  <c r="W58" i="5" s="1"/>
  <c r="D62" i="1"/>
  <c r="M62" i="5" s="1"/>
  <c r="AA62" i="5" s="1"/>
  <c r="D63" i="1"/>
  <c r="M63" i="5" s="1"/>
  <c r="AD63" i="5" s="1"/>
  <c r="D67" i="1"/>
  <c r="M67" i="5" s="1"/>
  <c r="AB67" i="5" s="1"/>
  <c r="D68" i="1"/>
  <c r="M68" i="5" s="1"/>
  <c r="W68" i="5" s="1"/>
  <c r="D69" i="1"/>
  <c r="M69" i="5" s="1"/>
  <c r="AA69" i="5" s="1"/>
  <c r="D72" i="1"/>
  <c r="M72" i="5" s="1"/>
  <c r="AE72" i="5" s="1"/>
  <c r="D73" i="1"/>
  <c r="M73" i="5" s="1"/>
  <c r="AC73" i="5" s="1"/>
  <c r="D76" i="1"/>
  <c r="M76" i="5" s="1"/>
  <c r="AB76" i="5" s="1"/>
  <c r="D77" i="1"/>
  <c r="M77" i="5" s="1"/>
  <c r="AF77" i="5" s="1"/>
  <c r="D78" i="1"/>
  <c r="M78" i="5" s="1"/>
  <c r="AC78" i="5" s="1"/>
  <c r="D79" i="1"/>
  <c r="M79" i="5" s="1"/>
  <c r="AB79" i="5" s="1"/>
  <c r="D80" i="1"/>
  <c r="M80" i="5" s="1"/>
  <c r="AA80" i="5" s="1"/>
  <c r="D81" i="1"/>
  <c r="M81" i="5" s="1"/>
  <c r="W81" i="5" s="1"/>
  <c r="D82" i="1"/>
  <c r="M82" i="5" s="1"/>
  <c r="W82" i="5" s="1"/>
  <c r="D83" i="1"/>
  <c r="M83" i="5" s="1"/>
  <c r="AE83" i="5" s="1"/>
  <c r="D84" i="1"/>
  <c r="M84" i="5" s="1"/>
  <c r="AD84" i="5" s="1"/>
  <c r="D85" i="1"/>
  <c r="M85" i="5" s="1"/>
  <c r="W85" i="5" s="1"/>
  <c r="D86" i="1"/>
  <c r="D87" i="1"/>
  <c r="D88" i="1"/>
  <c r="M88" i="5" s="1"/>
  <c r="W88" i="5" s="1"/>
  <c r="D89" i="1"/>
  <c r="D95" i="1"/>
  <c r="M94" i="5" s="1"/>
  <c r="D96" i="1"/>
  <c r="M95" i="5" s="1"/>
  <c r="D97" i="1"/>
  <c r="M96" i="5" s="1"/>
  <c r="D102" i="1"/>
  <c r="D103" i="1"/>
  <c r="G18" i="7" s="1"/>
  <c r="G19" i="7"/>
  <c r="P14" i="1"/>
  <c r="BT9" i="1"/>
  <c r="L14" i="19" l="1"/>
  <c r="F13" i="19"/>
  <c r="F21" i="19" s="1"/>
  <c r="M29" i="5"/>
  <c r="AF29" i="5" s="1"/>
  <c r="W51" i="5"/>
  <c r="AA19" i="5"/>
  <c r="AF35" i="5"/>
  <c r="AF34" i="5"/>
  <c r="AC68" i="5"/>
  <c r="AD72" i="5"/>
  <c r="AF76" i="5"/>
  <c r="AB80" i="5"/>
  <c r="AE84" i="5"/>
  <c r="AA26" i="5"/>
  <c r="AF52" i="5"/>
  <c r="AB56" i="5"/>
  <c r="AF16" i="5"/>
  <c r="W20" i="5"/>
  <c r="AB28" i="5"/>
  <c r="AA36" i="5"/>
  <c r="AB69" i="5"/>
  <c r="AD73" i="5"/>
  <c r="W77" i="5"/>
  <c r="AC85" i="5"/>
  <c r="AA53" i="5"/>
  <c r="AB29" i="5"/>
  <c r="AB62" i="5"/>
  <c r="W78" i="5"/>
  <c r="AE88" i="5"/>
  <c r="AA22" i="5"/>
  <c r="W38" i="5"/>
  <c r="AA58" i="5"/>
  <c r="AE63" i="5"/>
  <c r="AF79" i="5"/>
  <c r="AA83" i="5"/>
  <c r="AC15" i="5"/>
  <c r="AE19" i="5"/>
  <c r="AC35" i="5"/>
  <c r="AC34" i="5"/>
  <c r="AB68" i="5"/>
  <c r="AA72" i="5"/>
  <c r="AD76" i="5"/>
  <c r="AF80" i="5"/>
  <c r="AA84" i="5"/>
  <c r="AF37" i="5"/>
  <c r="AE26" i="5"/>
  <c r="AD52" i="5"/>
  <c r="AF56" i="5"/>
  <c r="W16" i="5"/>
  <c r="AA28" i="5"/>
  <c r="AE36" i="5"/>
  <c r="AF69" i="5"/>
  <c r="W73" i="5"/>
  <c r="AA81" i="5"/>
  <c r="AD85" i="5"/>
  <c r="AB53" i="5"/>
  <c r="AC29" i="5"/>
  <c r="AF62" i="5"/>
  <c r="AA82" i="5"/>
  <c r="AD88" i="5"/>
  <c r="AB22" i="5"/>
  <c r="AB58" i="5"/>
  <c r="AA63" i="5"/>
  <c r="AC79" i="5"/>
  <c r="W83" i="5"/>
  <c r="AB51" i="5"/>
  <c r="AD15" i="5"/>
  <c r="AB19" i="5"/>
  <c r="AD35" i="5"/>
  <c r="W34" i="5"/>
  <c r="AF68" i="5"/>
  <c r="AB72" i="5"/>
  <c r="AE76" i="5"/>
  <c r="AC80" i="5"/>
  <c r="W84" i="5"/>
  <c r="AB37" i="5"/>
  <c r="AB26" i="5"/>
  <c r="AE52" i="5"/>
  <c r="AC56" i="5"/>
  <c r="AB20" i="5"/>
  <c r="AE28" i="5"/>
  <c r="AF36" i="5"/>
  <c r="W69" i="5"/>
  <c r="AC77" i="5"/>
  <c r="AE81" i="5"/>
  <c r="AE85" i="5"/>
  <c r="AF53" i="5"/>
  <c r="AD29" i="5"/>
  <c r="AC62" i="5"/>
  <c r="AD78" i="5"/>
  <c r="AB82" i="5"/>
  <c r="AA88" i="5"/>
  <c r="W22" i="5"/>
  <c r="AF38" i="5"/>
  <c r="AF58" i="5"/>
  <c r="AB63" i="5"/>
  <c r="W79" i="5"/>
  <c r="AD96" i="5"/>
  <c r="W96" i="5"/>
  <c r="AA96" i="5"/>
  <c r="AB96" i="5"/>
  <c r="AF96" i="5"/>
  <c r="AE96" i="5"/>
  <c r="AC96" i="5"/>
  <c r="AF51" i="5"/>
  <c r="AA15" i="5"/>
  <c r="AF19" i="5"/>
  <c r="W35" i="5"/>
  <c r="AD68" i="5"/>
  <c r="AF72" i="5"/>
  <c r="AA76" i="5"/>
  <c r="W80" i="5"/>
  <c r="AC37" i="5"/>
  <c r="AF26" i="5"/>
  <c r="AA52" i="5"/>
  <c r="W56" i="5"/>
  <c r="AC16" i="5"/>
  <c r="AA20" i="5"/>
  <c r="AF28" i="5"/>
  <c r="AC36" i="5"/>
  <c r="AA73" i="5"/>
  <c r="AD77" i="5"/>
  <c r="AB81" i="5"/>
  <c r="AA85" i="5"/>
  <c r="W53" i="5"/>
  <c r="AA29" i="5"/>
  <c r="W62" i="5"/>
  <c r="AE78" i="5"/>
  <c r="AF82" i="5"/>
  <c r="AB88" i="5"/>
  <c r="AC38" i="5"/>
  <c r="AC58" i="5"/>
  <c r="AF63" i="5"/>
  <c r="AB83" i="5"/>
  <c r="W95" i="5"/>
  <c r="AA95" i="5"/>
  <c r="AB95" i="5"/>
  <c r="AF95" i="5"/>
  <c r="AC95" i="5"/>
  <c r="AE95" i="5"/>
  <c r="AD95" i="5"/>
  <c r="AC51" i="5"/>
  <c r="AE15" i="5"/>
  <c r="AC19" i="5"/>
  <c r="AD34" i="5"/>
  <c r="AE68" i="5"/>
  <c r="AC72" i="5"/>
  <c r="W76" i="5"/>
  <c r="AC84" i="5"/>
  <c r="AD37" i="5"/>
  <c r="AC26" i="5"/>
  <c r="W52" i="5"/>
  <c r="AD16" i="5"/>
  <c r="AE20" i="5"/>
  <c r="AC28" i="5"/>
  <c r="AD36" i="5"/>
  <c r="AC69" i="5"/>
  <c r="AE73" i="5"/>
  <c r="AE77" i="5"/>
  <c r="AF81" i="5"/>
  <c r="AB85" i="5"/>
  <c r="AA78" i="5"/>
  <c r="AC82" i="5"/>
  <c r="AF88" i="5"/>
  <c r="AB38" i="5"/>
  <c r="AD58" i="5"/>
  <c r="AC63" i="5"/>
  <c r="AD79" i="5"/>
  <c r="AF83" i="5"/>
  <c r="W94" i="5"/>
  <c r="AA94" i="5"/>
  <c r="AB94" i="5"/>
  <c r="AC94" i="5"/>
  <c r="AD94" i="5"/>
  <c r="AF94" i="5"/>
  <c r="AE94" i="5"/>
  <c r="AD51" i="5"/>
  <c r="AB15" i="5"/>
  <c r="AD19" i="5"/>
  <c r="AA35" i="5"/>
  <c r="AA34" i="5"/>
  <c r="AA68" i="5"/>
  <c r="W72" i="5"/>
  <c r="AE80" i="5"/>
  <c r="AB84" i="5"/>
  <c r="AA37" i="5"/>
  <c r="W26" i="5"/>
  <c r="AE56" i="5"/>
  <c r="AA16" i="5"/>
  <c r="AF20" i="5"/>
  <c r="AD28" i="5"/>
  <c r="W36" i="5"/>
  <c r="AD69" i="5"/>
  <c r="AB73" i="5"/>
  <c r="AA77" i="5"/>
  <c r="AC81" i="5"/>
  <c r="AF85" i="5"/>
  <c r="AC53" i="5"/>
  <c r="W29" i="5"/>
  <c r="AD62" i="5"/>
  <c r="AB78" i="5"/>
  <c r="AD82" i="5"/>
  <c r="AC88" i="5"/>
  <c r="AF22" i="5"/>
  <c r="AD38" i="5"/>
  <c r="AE58" i="5"/>
  <c r="W63" i="5"/>
  <c r="AE79" i="5"/>
  <c r="AC83" i="5"/>
  <c r="AE51" i="5"/>
  <c r="AF15" i="5"/>
  <c r="AE35" i="5"/>
  <c r="AE34" i="5"/>
  <c r="AC76" i="5"/>
  <c r="AD80" i="5"/>
  <c r="AF84" i="5"/>
  <c r="AE37" i="5"/>
  <c r="AC52" i="5"/>
  <c r="AD56" i="5"/>
  <c r="AE16" i="5"/>
  <c r="AC20" i="5"/>
  <c r="AE69" i="5"/>
  <c r="AF73" i="5"/>
  <c r="AB77" i="5"/>
  <c r="AD81" i="5"/>
  <c r="AD53" i="5"/>
  <c r="AE62" i="5"/>
  <c r="AF78" i="5"/>
  <c r="AE82" i="5"/>
  <c r="AC22" i="5"/>
  <c r="AA38" i="5"/>
  <c r="AA79" i="5"/>
  <c r="AD83" i="5"/>
  <c r="AD22" i="5"/>
  <c r="AF67" i="5"/>
  <c r="AC67" i="5"/>
  <c r="AE67" i="5"/>
  <c r="AA67" i="5"/>
  <c r="W67" i="5"/>
  <c r="AD67" i="5"/>
  <c r="AD31" i="5"/>
  <c r="AA31" i="5"/>
  <c r="AB31" i="5"/>
  <c r="AF31" i="5"/>
  <c r="W31" i="5"/>
  <c r="AE31" i="5"/>
  <c r="AD32" i="5"/>
  <c r="AE32" i="5"/>
  <c r="AF32" i="5"/>
  <c r="W32" i="5"/>
  <c r="AA32" i="5"/>
  <c r="AB32" i="5"/>
  <c r="G17" i="7"/>
  <c r="W11" i="5"/>
  <c r="AE11" i="5"/>
  <c r="AB11" i="5"/>
  <c r="AA11" i="5"/>
  <c r="AF11" i="5"/>
  <c r="AC11" i="5"/>
  <c r="W57" i="5"/>
  <c r="AD57" i="5"/>
  <c r="AC57" i="5"/>
  <c r="AF57" i="5"/>
  <c r="AB57" i="5"/>
  <c r="AE57" i="5"/>
  <c r="AA57" i="5"/>
  <c r="DP42" i="1"/>
  <c r="CI30" i="1"/>
  <c r="D30" i="1" s="1"/>
  <c r="M30" i="5" s="1"/>
  <c r="DP101" i="1"/>
  <c r="DL101" i="1"/>
  <c r="CM101" i="1"/>
  <c r="CE101" i="1"/>
  <c r="CA101" i="1"/>
  <c r="BW101" i="1"/>
  <c r="AO101" i="1"/>
  <c r="AG101" i="1"/>
  <c r="P101" i="1"/>
  <c r="DR100" i="1"/>
  <c r="DP100" i="1"/>
  <c r="DD100" i="1"/>
  <c r="CE100" i="1"/>
  <c r="BW100" i="1"/>
  <c r="Y100" i="1"/>
  <c r="P100" i="1"/>
  <c r="E103" i="1"/>
  <c r="F103" i="1"/>
  <c r="G103" i="1"/>
  <c r="I18" i="7" s="1"/>
  <c r="AD18" i="7" s="1"/>
  <c r="I103" i="1"/>
  <c r="K18" i="7" s="1"/>
  <c r="J103" i="1"/>
  <c r="L18" i="7" s="1"/>
  <c r="K103" i="1"/>
  <c r="M18" i="7" s="1"/>
  <c r="L103" i="1"/>
  <c r="N18" i="7" s="1"/>
  <c r="M103" i="1"/>
  <c r="O18" i="7" s="1"/>
  <c r="E104" i="1"/>
  <c r="F104" i="1"/>
  <c r="G104" i="1"/>
  <c r="I19" i="7" s="1"/>
  <c r="AD19" i="7" s="1"/>
  <c r="I104" i="1"/>
  <c r="K19" i="7" s="1"/>
  <c r="J104" i="1"/>
  <c r="L19" i="7" s="1"/>
  <c r="K104" i="1"/>
  <c r="M19" i="7" s="1"/>
  <c r="L104" i="1"/>
  <c r="N19" i="7" s="1"/>
  <c r="M104" i="1"/>
  <c r="O19" i="7" s="1"/>
  <c r="DP40" i="1"/>
  <c r="DP93" i="1"/>
  <c r="D93" i="1" s="1"/>
  <c r="M92" i="5" s="1"/>
  <c r="AE29" i="5" l="1"/>
  <c r="M14" i="19"/>
  <c r="M13" i="19" s="1"/>
  <c r="L13" i="19"/>
  <c r="L21" i="19" s="1"/>
  <c r="AG18" i="7"/>
  <c r="AB92" i="5"/>
  <c r="AE92" i="5"/>
  <c r="AA92" i="5"/>
  <c r="AD92" i="5"/>
  <c r="AC92" i="5"/>
  <c r="W92" i="5"/>
  <c r="AF92" i="5"/>
  <c r="D101" i="1"/>
  <c r="G16" i="7" s="1"/>
  <c r="AE30" i="5"/>
  <c r="AA30" i="5"/>
  <c r="AD30" i="5"/>
  <c r="AC30" i="5"/>
  <c r="AF30" i="5"/>
  <c r="W30" i="5"/>
  <c r="AB30" i="5"/>
  <c r="D100" i="1"/>
  <c r="H104" i="1"/>
  <c r="J19" i="7" s="1"/>
  <c r="S19" i="7" s="1"/>
  <c r="E21" i="18" s="1"/>
  <c r="H19" i="7"/>
  <c r="R19" i="7" s="1"/>
  <c r="U19" i="7" s="1"/>
  <c r="H103" i="1"/>
  <c r="J18" i="7" s="1"/>
  <c r="S18" i="7" s="1"/>
  <c r="E20" i="18" s="1"/>
  <c r="H18" i="7"/>
  <c r="R18" i="7" s="1"/>
  <c r="U18" i="7" s="1"/>
  <c r="D20" i="18" s="1"/>
  <c r="F20" i="18" s="1"/>
  <c r="L20" i="18" s="1"/>
  <c r="M20" i="18" s="1"/>
  <c r="BT91" i="1"/>
  <c r="D91" i="1" s="1"/>
  <c r="M90" i="5" s="1"/>
  <c r="E97" i="1"/>
  <c r="F97" i="1"/>
  <c r="O96" i="5" s="1"/>
  <c r="Y96" i="5" s="1"/>
  <c r="G97" i="1"/>
  <c r="P96" i="5" s="1"/>
  <c r="AI96" i="5" s="1"/>
  <c r="AM96" i="5" s="1"/>
  <c r="I97" i="1"/>
  <c r="R96" i="5" s="1"/>
  <c r="J97" i="1"/>
  <c r="S96" i="5" s="1"/>
  <c r="K97" i="1"/>
  <c r="T96" i="5" s="1"/>
  <c r="L97" i="1"/>
  <c r="U96" i="5" s="1"/>
  <c r="M97" i="1"/>
  <c r="V96" i="5" s="1"/>
  <c r="AO92" i="1"/>
  <c r="D92" i="1" s="1"/>
  <c r="M91" i="5" s="1"/>
  <c r="DP48" i="1"/>
  <c r="D48" i="1" s="1"/>
  <c r="M48" i="5" s="1"/>
  <c r="DP18" i="1"/>
  <c r="DP14" i="1"/>
  <c r="DL14" i="1"/>
  <c r="DD12" i="1"/>
  <c r="CZ46" i="1"/>
  <c r="CZ27" i="1"/>
  <c r="CZ13" i="1"/>
  <c r="CV18" i="1"/>
  <c r="CV13" i="1"/>
  <c r="CM27" i="1"/>
  <c r="D27" i="1" s="1"/>
  <c r="M27" i="5" s="1"/>
  <c r="CM14" i="1"/>
  <c r="CI33" i="1"/>
  <c r="CI21" i="1"/>
  <c r="AB19" i="7" l="1"/>
  <c r="AC19" i="7" s="1"/>
  <c r="D21" i="18"/>
  <c r="F21" i="18" s="1"/>
  <c r="L21" i="18" s="1"/>
  <c r="M21" i="18" s="1"/>
  <c r="AB18" i="7"/>
  <c r="AC18" i="7" s="1"/>
  <c r="G15" i="7"/>
  <c r="G22" i="7" s="1"/>
  <c r="H97" i="1"/>
  <c r="Q96" i="5" s="1"/>
  <c r="Z96" i="5" s="1"/>
  <c r="N96" i="5"/>
  <c r="X96" i="5" s="1"/>
  <c r="AA91" i="5"/>
  <c r="AD91" i="5"/>
  <c r="AC91" i="5"/>
  <c r="AF91" i="5"/>
  <c r="AB91" i="5"/>
  <c r="W91" i="5"/>
  <c r="AE91" i="5"/>
  <c r="AE27" i="5"/>
  <c r="AA27" i="5"/>
  <c r="W27" i="5"/>
  <c r="AD27" i="5"/>
  <c r="AC27" i="5"/>
  <c r="AF27" i="5"/>
  <c r="AB27" i="5"/>
  <c r="D18" i="1"/>
  <c r="M18" i="5" s="1"/>
  <c r="D14" i="1"/>
  <c r="M14" i="5" s="1"/>
  <c r="W48" i="5"/>
  <c r="AC48" i="5"/>
  <c r="AF48" i="5"/>
  <c r="AB48" i="5"/>
  <c r="AA48" i="5"/>
  <c r="AD48" i="5"/>
  <c r="AE48" i="5"/>
  <c r="W90" i="5"/>
  <c r="AF90" i="5"/>
  <c r="AB90" i="5"/>
  <c r="AE90" i="5"/>
  <c r="AD90" i="5"/>
  <c r="AA90" i="5"/>
  <c r="AC90" i="5"/>
  <c r="CI12" i="1"/>
  <c r="CA12" i="1"/>
  <c r="D12" i="1" s="1"/>
  <c r="M12" i="5" s="1"/>
  <c r="W12" i="5" s="1"/>
  <c r="BW21" i="1"/>
  <c r="D21" i="1" s="1"/>
  <c r="M21" i="5" s="1"/>
  <c r="BN9" i="1"/>
  <c r="BJ33" i="1"/>
  <c r="D33" i="1" s="1"/>
  <c r="M33" i="5" s="1"/>
  <c r="BJ9" i="1"/>
  <c r="BF9" i="1"/>
  <c r="BB23" i="1"/>
  <c r="D23" i="1" s="1"/>
  <c r="M23" i="5" s="1"/>
  <c r="BB13" i="1"/>
  <c r="D13" i="1" s="1"/>
  <c r="M13" i="5" s="1"/>
  <c r="AX17" i="1"/>
  <c r="D17" i="1" s="1"/>
  <c r="M17" i="5" s="1"/>
  <c r="AX10" i="1"/>
  <c r="J10" i="1" s="1"/>
  <c r="AS9" i="1"/>
  <c r="DL42" i="1"/>
  <c r="DH42" i="1"/>
  <c r="CZ40" i="1"/>
  <c r="CV40" i="1"/>
  <c r="CQ40" i="1"/>
  <c r="CM40" i="1"/>
  <c r="CI40" i="1"/>
  <c r="CA42" i="1"/>
  <c r="CA41" i="1"/>
  <c r="CA40" i="1"/>
  <c r="BW41" i="1"/>
  <c r="BT44" i="1"/>
  <c r="D44" i="1" s="1"/>
  <c r="M44" i="5" s="1"/>
  <c r="BT43" i="1"/>
  <c r="D43" i="1" s="1"/>
  <c r="M43" i="5" s="1"/>
  <c r="BT42" i="1"/>
  <c r="BT41" i="1"/>
  <c r="BR40" i="1"/>
  <c r="BN42" i="1"/>
  <c r="BN40" i="1"/>
  <c r="DL66" i="1"/>
  <c r="CZ64" i="1"/>
  <c r="D64" i="1" s="1"/>
  <c r="M64" i="5" s="1"/>
  <c r="DD46" i="1"/>
  <c r="CZ50" i="1"/>
  <c r="D50" i="1" s="1"/>
  <c r="M50" i="5" s="1"/>
  <c r="DD59" i="1"/>
  <c r="CZ66" i="1"/>
  <c r="DD66" i="1"/>
  <c r="DD74" i="1"/>
  <c r="E81" i="1"/>
  <c r="F81" i="1"/>
  <c r="O81" i="5" s="1"/>
  <c r="Y81" i="5" s="1"/>
  <c r="G81" i="1"/>
  <c r="P81" i="5" s="1"/>
  <c r="AI81" i="5" s="1"/>
  <c r="AM81" i="5" s="1"/>
  <c r="I81" i="1"/>
  <c r="R81" i="5" s="1"/>
  <c r="J81" i="1"/>
  <c r="S81" i="5" s="1"/>
  <c r="K81" i="1"/>
  <c r="T81" i="5" s="1"/>
  <c r="L81" i="1"/>
  <c r="U81" i="5" s="1"/>
  <c r="M81" i="1"/>
  <c r="V81" i="5" s="1"/>
  <c r="E82" i="1"/>
  <c r="F82" i="1"/>
  <c r="O82" i="5" s="1"/>
  <c r="Y82" i="5" s="1"/>
  <c r="G82" i="1"/>
  <c r="P82" i="5" s="1"/>
  <c r="AI82" i="5" s="1"/>
  <c r="AM82" i="5" s="1"/>
  <c r="I82" i="1"/>
  <c r="R82" i="5" s="1"/>
  <c r="J82" i="1"/>
  <c r="S82" i="5" s="1"/>
  <c r="K82" i="1"/>
  <c r="T82" i="5" s="1"/>
  <c r="L82" i="1"/>
  <c r="U82" i="5" s="1"/>
  <c r="M82" i="1"/>
  <c r="V82" i="5" s="1"/>
  <c r="E83" i="1"/>
  <c r="F83" i="1"/>
  <c r="O83" i="5" s="1"/>
  <c r="Y83" i="5" s="1"/>
  <c r="G83" i="1"/>
  <c r="P83" i="5" s="1"/>
  <c r="AI83" i="5" s="1"/>
  <c r="AM83" i="5" s="1"/>
  <c r="I83" i="1"/>
  <c r="R83" i="5" s="1"/>
  <c r="J83" i="1"/>
  <c r="S83" i="5" s="1"/>
  <c r="K83" i="1"/>
  <c r="T83" i="5" s="1"/>
  <c r="L83" i="1"/>
  <c r="U83" i="5" s="1"/>
  <c r="M83" i="1"/>
  <c r="V83" i="5" s="1"/>
  <c r="E80" i="1"/>
  <c r="F80" i="1"/>
  <c r="O80" i="5" s="1"/>
  <c r="Y80" i="5" s="1"/>
  <c r="G80" i="1"/>
  <c r="P80" i="5" s="1"/>
  <c r="AI80" i="5" s="1"/>
  <c r="AM80" i="5" s="1"/>
  <c r="I80" i="1"/>
  <c r="R80" i="5" s="1"/>
  <c r="J80" i="1"/>
  <c r="S80" i="5" s="1"/>
  <c r="K80" i="1"/>
  <c r="T80" i="5" s="1"/>
  <c r="L80" i="1"/>
  <c r="U80" i="5" s="1"/>
  <c r="M80" i="1"/>
  <c r="V80" i="5" s="1"/>
  <c r="CM75" i="1"/>
  <c r="CM55" i="1"/>
  <c r="D55" i="1" s="1"/>
  <c r="M55" i="5" s="1"/>
  <c r="CM54" i="1"/>
  <c r="D54" i="1" s="1"/>
  <c r="M54" i="5" s="1"/>
  <c r="CM49" i="1"/>
  <c r="D49" i="1" s="1"/>
  <c r="M49" i="5" s="1"/>
  <c r="CI61" i="1"/>
  <c r="D61" i="1" s="1"/>
  <c r="M61" i="5" s="1"/>
  <c r="CI59" i="1"/>
  <c r="CI65" i="1"/>
  <c r="D65" i="1" s="1"/>
  <c r="M65" i="5" s="1"/>
  <c r="CI70" i="1"/>
  <c r="D70" i="1" s="1"/>
  <c r="M70" i="5" s="1"/>
  <c r="CI75" i="1"/>
  <c r="CE74" i="1"/>
  <c r="CE71" i="1"/>
  <c r="D71" i="1" s="1"/>
  <c r="M71" i="5" s="1"/>
  <c r="CE60" i="1"/>
  <c r="D60" i="1" s="1"/>
  <c r="M60" i="5" s="1"/>
  <c r="AG19" i="7" l="1"/>
  <c r="AH19" i="7" s="1"/>
  <c r="AH18" i="7"/>
  <c r="D74" i="1"/>
  <c r="M74" i="5" s="1"/>
  <c r="W74" i="5" s="1"/>
  <c r="D59" i="1"/>
  <c r="M59" i="5" s="1"/>
  <c r="AA59" i="5" s="1"/>
  <c r="AF43" i="5"/>
  <c r="AB43" i="5"/>
  <c r="AE43" i="5"/>
  <c r="AA43" i="5"/>
  <c r="AD43" i="5"/>
  <c r="AC43" i="5"/>
  <c r="W43" i="5"/>
  <c r="AA13" i="5"/>
  <c r="AD13" i="5"/>
  <c r="AC13" i="5"/>
  <c r="AB13" i="5"/>
  <c r="AF13" i="5"/>
  <c r="W13" i="5"/>
  <c r="AE13" i="5"/>
  <c r="W64" i="5"/>
  <c r="AC64" i="5"/>
  <c r="AF64" i="5"/>
  <c r="AB64" i="5"/>
  <c r="AA64" i="5"/>
  <c r="AD64" i="5"/>
  <c r="AE64" i="5"/>
  <c r="AB44" i="5"/>
  <c r="AE44" i="5"/>
  <c r="AA44" i="5"/>
  <c r="AD44" i="5"/>
  <c r="AC44" i="5"/>
  <c r="W44" i="5"/>
  <c r="AF44" i="5"/>
  <c r="AC23" i="5"/>
  <c r="W23" i="5"/>
  <c r="AF23" i="5"/>
  <c r="AB23" i="5"/>
  <c r="AE23" i="5"/>
  <c r="AA23" i="5"/>
  <c r="AD23" i="5"/>
  <c r="W14" i="5"/>
  <c r="AB14" i="5"/>
  <c r="AE14" i="5"/>
  <c r="AA14" i="5"/>
  <c r="AD14" i="5"/>
  <c r="AC14" i="5"/>
  <c r="AF14" i="5"/>
  <c r="H83" i="1"/>
  <c r="Q83" i="5" s="1"/>
  <c r="Z83" i="5" s="1"/>
  <c r="N83" i="5"/>
  <c r="X83" i="5" s="1"/>
  <c r="H81" i="1"/>
  <c r="Q81" i="5" s="1"/>
  <c r="Z81" i="5" s="1"/>
  <c r="N81" i="5"/>
  <c r="X81" i="5" s="1"/>
  <c r="AA18" i="5"/>
  <c r="AD18" i="5"/>
  <c r="W18" i="5"/>
  <c r="AC18" i="5"/>
  <c r="AF18" i="5"/>
  <c r="AB18" i="5"/>
  <c r="AE18" i="5"/>
  <c r="H82" i="1"/>
  <c r="Q82" i="5" s="1"/>
  <c r="Z82" i="5" s="1"/>
  <c r="N82" i="5"/>
  <c r="X82" i="5" s="1"/>
  <c r="AG96" i="5"/>
  <c r="AN96" i="5" s="1"/>
  <c r="AB65" i="5"/>
  <c r="AE65" i="5"/>
  <c r="AA65" i="5"/>
  <c r="W65" i="5"/>
  <c r="AD65" i="5"/>
  <c r="AC65" i="5"/>
  <c r="AF65" i="5"/>
  <c r="AD74" i="5"/>
  <c r="AC74" i="5"/>
  <c r="AF74" i="5"/>
  <c r="AB74" i="5"/>
  <c r="AA74" i="5"/>
  <c r="AE74" i="5"/>
  <c r="H80" i="1"/>
  <c r="Q80" i="5" s="1"/>
  <c r="Z80" i="5" s="1"/>
  <c r="N80" i="5"/>
  <c r="X80" i="5" s="1"/>
  <c r="D66" i="1"/>
  <c r="M66" i="5" s="1"/>
  <c r="D9" i="1"/>
  <c r="M9" i="5" s="1"/>
  <c r="AE9" i="5" s="1"/>
  <c r="E9" i="1"/>
  <c r="N9" i="5" s="1"/>
  <c r="X9" i="5" s="1"/>
  <c r="W54" i="5"/>
  <c r="AC54" i="5"/>
  <c r="AF54" i="5"/>
  <c r="AB54" i="5"/>
  <c r="AA54" i="5"/>
  <c r="AE54" i="5"/>
  <c r="AD54" i="5"/>
  <c r="AD61" i="5"/>
  <c r="AC61" i="5"/>
  <c r="W61" i="5"/>
  <c r="AF61" i="5"/>
  <c r="AB61" i="5"/>
  <c r="AA61" i="5"/>
  <c r="AE61" i="5"/>
  <c r="W21" i="5"/>
  <c r="AE21" i="5"/>
  <c r="AA21" i="5"/>
  <c r="AD21" i="5"/>
  <c r="AC21" i="5"/>
  <c r="AB21" i="5"/>
  <c r="AF21" i="5"/>
  <c r="AE71" i="5"/>
  <c r="AD71" i="5"/>
  <c r="W71" i="5"/>
  <c r="AC71" i="5"/>
  <c r="AF71" i="5"/>
  <c r="AB71" i="5"/>
  <c r="AA71" i="5"/>
  <c r="AE49" i="5"/>
  <c r="AA49" i="5"/>
  <c r="W49" i="5"/>
  <c r="AD49" i="5"/>
  <c r="AC49" i="5"/>
  <c r="AF49" i="5"/>
  <c r="AB49" i="5"/>
  <c r="AB50" i="5"/>
  <c r="AA50" i="5"/>
  <c r="W50" i="5"/>
  <c r="AE50" i="5"/>
  <c r="AD50" i="5"/>
  <c r="AC50" i="5"/>
  <c r="AF50" i="5"/>
  <c r="AC17" i="5"/>
  <c r="AF17" i="5"/>
  <c r="AB17" i="5"/>
  <c r="AE17" i="5"/>
  <c r="AA17" i="5"/>
  <c r="AD17" i="5"/>
  <c r="W17" i="5"/>
  <c r="AA33" i="5"/>
  <c r="W33" i="5"/>
  <c r="AC33" i="5"/>
  <c r="AF33" i="5"/>
  <c r="AE33" i="5"/>
  <c r="AD33" i="5"/>
  <c r="AB33" i="5"/>
  <c r="AE55" i="5"/>
  <c r="W55" i="5"/>
  <c r="AC55" i="5"/>
  <c r="AD55" i="5"/>
  <c r="AF55" i="5"/>
  <c r="AB55" i="5"/>
  <c r="AA55" i="5"/>
  <c r="W70" i="5"/>
  <c r="AC70" i="5"/>
  <c r="AF70" i="5"/>
  <c r="AB70" i="5"/>
  <c r="AA70" i="5"/>
  <c r="AE70" i="5"/>
  <c r="AD70" i="5"/>
  <c r="W60" i="5"/>
  <c r="AA60" i="5"/>
  <c r="AE60" i="5"/>
  <c r="AD60" i="5"/>
  <c r="AF60" i="5"/>
  <c r="AB60" i="5"/>
  <c r="AC60" i="5"/>
  <c r="AD12" i="5"/>
  <c r="AC12" i="5"/>
  <c r="AF12" i="5"/>
  <c r="AE12" i="5"/>
  <c r="AA12" i="5"/>
  <c r="AB12" i="5"/>
  <c r="K9" i="1"/>
  <c r="T9" i="5" s="1"/>
  <c r="I9" i="1"/>
  <c r="R9" i="5" s="1"/>
  <c r="D10" i="1"/>
  <c r="M10" i="5" s="1"/>
  <c r="L10" i="1"/>
  <c r="U10" i="5" s="1"/>
  <c r="D75" i="1"/>
  <c r="M75" i="5" s="1"/>
  <c r="D42" i="1"/>
  <c r="M42" i="5" s="1"/>
  <c r="D41" i="1"/>
  <c r="M41" i="5" s="1"/>
  <c r="E46" i="1"/>
  <c r="N46" i="5" s="1"/>
  <c r="X46" i="5" s="1"/>
  <c r="E47" i="1"/>
  <c r="N47" i="5" s="1"/>
  <c r="X47" i="5" s="1"/>
  <c r="E48" i="1"/>
  <c r="N48" i="5" s="1"/>
  <c r="X48" i="5" s="1"/>
  <c r="E49" i="1"/>
  <c r="N49" i="5" s="1"/>
  <c r="X49" i="5" s="1"/>
  <c r="E50" i="1"/>
  <c r="N50" i="5" s="1"/>
  <c r="X50" i="5" s="1"/>
  <c r="E51" i="1"/>
  <c r="N51" i="5" s="1"/>
  <c r="X51" i="5" s="1"/>
  <c r="E52" i="1"/>
  <c r="N52" i="5" s="1"/>
  <c r="X52" i="5" s="1"/>
  <c r="E53" i="1"/>
  <c r="N53" i="5" s="1"/>
  <c r="X53" i="5" s="1"/>
  <c r="E54" i="1"/>
  <c r="N54" i="5" s="1"/>
  <c r="X54" i="5" s="1"/>
  <c r="E55" i="1"/>
  <c r="N55" i="5" s="1"/>
  <c r="X55" i="5" s="1"/>
  <c r="E56" i="1"/>
  <c r="N56" i="5" s="1"/>
  <c r="X56" i="5" s="1"/>
  <c r="E57" i="1"/>
  <c r="N57" i="5" s="1"/>
  <c r="X57" i="5" s="1"/>
  <c r="E58" i="1"/>
  <c r="N58" i="5" s="1"/>
  <c r="X58" i="5" s="1"/>
  <c r="E59" i="1"/>
  <c r="N59" i="5" s="1"/>
  <c r="X59" i="5" s="1"/>
  <c r="E60" i="1"/>
  <c r="N60" i="5" s="1"/>
  <c r="X60" i="5" s="1"/>
  <c r="E61" i="1"/>
  <c r="N61" i="5" s="1"/>
  <c r="X61" i="5" s="1"/>
  <c r="E62" i="1"/>
  <c r="N62" i="5" s="1"/>
  <c r="X62" i="5" s="1"/>
  <c r="E63" i="1"/>
  <c r="N63" i="5" s="1"/>
  <c r="X63" i="5" s="1"/>
  <c r="E64" i="1"/>
  <c r="N64" i="5" s="1"/>
  <c r="X64" i="5" s="1"/>
  <c r="E65" i="1"/>
  <c r="N65" i="5" s="1"/>
  <c r="X65" i="5" s="1"/>
  <c r="E67" i="1"/>
  <c r="N67" i="5" s="1"/>
  <c r="X67" i="5" s="1"/>
  <c r="E66" i="1"/>
  <c r="E68" i="1"/>
  <c r="N68" i="5" s="1"/>
  <c r="X68" i="5" s="1"/>
  <c r="E69" i="1"/>
  <c r="N69" i="5" s="1"/>
  <c r="X69" i="5" s="1"/>
  <c r="E70" i="1"/>
  <c r="N70" i="5" s="1"/>
  <c r="X70" i="5" s="1"/>
  <c r="E71" i="1"/>
  <c r="N71" i="5" s="1"/>
  <c r="X71" i="5" s="1"/>
  <c r="E72" i="1"/>
  <c r="E73" i="1"/>
  <c r="E74" i="1"/>
  <c r="E77" i="1"/>
  <c r="E78" i="1"/>
  <c r="E75" i="1"/>
  <c r="E76" i="1"/>
  <c r="E93" i="1"/>
  <c r="E92" i="1"/>
  <c r="E91" i="1"/>
  <c r="N90" i="5" s="1"/>
  <c r="E84" i="1"/>
  <c r="E85" i="1"/>
  <c r="E98" i="1"/>
  <c r="H13" i="7" s="1"/>
  <c r="E99" i="1"/>
  <c r="E37" i="1"/>
  <c r="E86" i="1"/>
  <c r="H86" i="1" s="1"/>
  <c r="E87" i="1"/>
  <c r="H87" i="1" s="1"/>
  <c r="E88" i="1"/>
  <c r="E89" i="1"/>
  <c r="H89" i="1" s="1"/>
  <c r="E79" i="1"/>
  <c r="AU47" i="1"/>
  <c r="D47" i="1" s="1"/>
  <c r="M47" i="5" s="1"/>
  <c r="AU46" i="1"/>
  <c r="D46" i="1" s="1"/>
  <c r="M46" i="5" s="1"/>
  <c r="F37" i="1"/>
  <c r="O37" i="5" s="1"/>
  <c r="Y37" i="5" s="1"/>
  <c r="G37" i="1"/>
  <c r="P37" i="5" s="1"/>
  <c r="AI37" i="5" s="1"/>
  <c r="AM37" i="5" s="1"/>
  <c r="I37" i="1"/>
  <c r="R37" i="5" s="1"/>
  <c r="J37" i="1"/>
  <c r="S37" i="5" s="1"/>
  <c r="K37" i="1"/>
  <c r="T37" i="5" s="1"/>
  <c r="L37" i="1"/>
  <c r="U37" i="5" s="1"/>
  <c r="M37" i="1"/>
  <c r="V37" i="5" s="1"/>
  <c r="F86" i="1"/>
  <c r="G86" i="1"/>
  <c r="I86" i="1"/>
  <c r="J86" i="1"/>
  <c r="K86" i="1"/>
  <c r="L86" i="1"/>
  <c r="M86" i="1"/>
  <c r="F87" i="1"/>
  <c r="G87" i="1"/>
  <c r="I87" i="1"/>
  <c r="J87" i="1"/>
  <c r="K87" i="1"/>
  <c r="L87" i="1"/>
  <c r="M87" i="1"/>
  <c r="F88" i="1"/>
  <c r="O88" i="5" s="1"/>
  <c r="Y88" i="5" s="1"/>
  <c r="G88" i="1"/>
  <c r="P88" i="5" s="1"/>
  <c r="AI88" i="5" s="1"/>
  <c r="AM88" i="5" s="1"/>
  <c r="I88" i="1"/>
  <c r="R88" i="5" s="1"/>
  <c r="J88" i="1"/>
  <c r="S88" i="5" s="1"/>
  <c r="K88" i="1"/>
  <c r="T88" i="5" s="1"/>
  <c r="L88" i="1"/>
  <c r="U88" i="5" s="1"/>
  <c r="M88" i="1"/>
  <c r="V88" i="5" s="1"/>
  <c r="F89" i="1"/>
  <c r="G89" i="1"/>
  <c r="I89" i="1"/>
  <c r="J89" i="1"/>
  <c r="K89" i="1"/>
  <c r="L89" i="1"/>
  <c r="M89" i="1"/>
  <c r="F79" i="1"/>
  <c r="O79" i="5" s="1"/>
  <c r="Y79" i="5" s="1"/>
  <c r="G79" i="1"/>
  <c r="P79" i="5" s="1"/>
  <c r="AI79" i="5" s="1"/>
  <c r="AM79" i="5" s="1"/>
  <c r="I79" i="1"/>
  <c r="R79" i="5" s="1"/>
  <c r="J79" i="1"/>
  <c r="S79" i="5" s="1"/>
  <c r="K79" i="1"/>
  <c r="T79" i="5" s="1"/>
  <c r="L79" i="1"/>
  <c r="U79" i="5" s="1"/>
  <c r="M79" i="1"/>
  <c r="V79" i="5" s="1"/>
  <c r="AL40" i="1"/>
  <c r="AK40" i="1"/>
  <c r="M19" i="1"/>
  <c r="V19" i="5" s="1"/>
  <c r="R13" i="7" l="1"/>
  <c r="AF10" i="5"/>
  <c r="AE10" i="5"/>
  <c r="W59" i="5"/>
  <c r="AB59" i="5"/>
  <c r="AF59" i="5"/>
  <c r="AD59" i="5"/>
  <c r="AC59" i="5"/>
  <c r="AE59" i="5"/>
  <c r="D40" i="1"/>
  <c r="M40" i="5" s="1"/>
  <c r="AF40" i="5" s="1"/>
  <c r="H37" i="1"/>
  <c r="Q37" i="5" s="1"/>
  <c r="Z37" i="5" s="1"/>
  <c r="N37" i="5"/>
  <c r="X37" i="5" s="1"/>
  <c r="H76" i="1"/>
  <c r="Q76" i="5" s="1"/>
  <c r="Z76" i="5" s="1"/>
  <c r="N76" i="5"/>
  <c r="X76" i="5" s="1"/>
  <c r="AF46" i="5"/>
  <c r="AB46" i="5"/>
  <c r="AE46" i="5"/>
  <c r="AA46" i="5"/>
  <c r="W46" i="5"/>
  <c r="AD46" i="5"/>
  <c r="AC46" i="5"/>
  <c r="H99" i="1"/>
  <c r="H14" i="7"/>
  <c r="R14" i="7" s="1"/>
  <c r="H75" i="1"/>
  <c r="Q75" i="5" s="1"/>
  <c r="Z75" i="5" s="1"/>
  <c r="N75" i="5"/>
  <c r="X75" i="5" s="1"/>
  <c r="AB41" i="5"/>
  <c r="W41" i="5"/>
  <c r="AE41" i="5"/>
  <c r="AA41" i="5"/>
  <c r="AD41" i="5"/>
  <c r="AC41" i="5"/>
  <c r="AF41" i="5"/>
  <c r="AG82" i="5"/>
  <c r="AN82" i="5" s="1"/>
  <c r="W47" i="5"/>
  <c r="AC47" i="5"/>
  <c r="AF47" i="5"/>
  <c r="AB47" i="5"/>
  <c r="AA47" i="5"/>
  <c r="AE47" i="5"/>
  <c r="AD47" i="5"/>
  <c r="H98" i="1"/>
  <c r="J13" i="7" s="1"/>
  <c r="H78" i="1"/>
  <c r="Q78" i="5" s="1"/>
  <c r="Z78" i="5" s="1"/>
  <c r="N78" i="5"/>
  <c r="X78" i="5" s="1"/>
  <c r="AB42" i="5"/>
  <c r="W42" i="5"/>
  <c r="AE42" i="5"/>
  <c r="AA42" i="5"/>
  <c r="AD42" i="5"/>
  <c r="AC42" i="5"/>
  <c r="AF42" i="5"/>
  <c r="AG81" i="5"/>
  <c r="AN81" i="5" s="1"/>
  <c r="H79" i="1"/>
  <c r="Q79" i="5" s="1"/>
  <c r="Z79" i="5" s="1"/>
  <c r="N79" i="5"/>
  <c r="X79" i="5" s="1"/>
  <c r="H85" i="1"/>
  <c r="Q85" i="5" s="1"/>
  <c r="Z85" i="5" s="1"/>
  <c r="N85" i="5"/>
  <c r="X85" i="5" s="1"/>
  <c r="H77" i="1"/>
  <c r="Q77" i="5" s="1"/>
  <c r="Z77" i="5" s="1"/>
  <c r="N77" i="5"/>
  <c r="X77" i="5" s="1"/>
  <c r="H66" i="1"/>
  <c r="Q66" i="5" s="1"/>
  <c r="Z66" i="5" s="1"/>
  <c r="N66" i="5"/>
  <c r="X66" i="5" s="1"/>
  <c r="AC75" i="5"/>
  <c r="AF75" i="5"/>
  <c r="AB75" i="5"/>
  <c r="W75" i="5"/>
  <c r="AA75" i="5"/>
  <c r="AE75" i="5"/>
  <c r="AD75" i="5"/>
  <c r="H84" i="1"/>
  <c r="Q84" i="5" s="1"/>
  <c r="Z84" i="5" s="1"/>
  <c r="N84" i="5"/>
  <c r="X84" i="5" s="1"/>
  <c r="H74" i="1"/>
  <c r="Q74" i="5" s="1"/>
  <c r="Z74" i="5" s="1"/>
  <c r="N74" i="5"/>
  <c r="X74" i="5" s="1"/>
  <c r="AG83" i="5"/>
  <c r="AN83" i="5" s="1"/>
  <c r="H88" i="1"/>
  <c r="Q88" i="5" s="1"/>
  <c r="Z88" i="5" s="1"/>
  <c r="N88" i="5"/>
  <c r="X88" i="5" s="1"/>
  <c r="H73" i="1"/>
  <c r="Q73" i="5" s="1"/>
  <c r="Z73" i="5" s="1"/>
  <c r="N73" i="5"/>
  <c r="X73" i="5" s="1"/>
  <c r="H92" i="1"/>
  <c r="Q91" i="5" s="1"/>
  <c r="Z91" i="5" s="1"/>
  <c r="N91" i="5"/>
  <c r="X91" i="5" s="1"/>
  <c r="H72" i="1"/>
  <c r="Q72" i="5" s="1"/>
  <c r="Z72" i="5" s="1"/>
  <c r="N72" i="5"/>
  <c r="X72" i="5" s="1"/>
  <c r="AF9" i="5"/>
  <c r="AB9" i="5"/>
  <c r="AA9" i="5"/>
  <c r="AD9" i="5"/>
  <c r="AC9" i="5"/>
  <c r="W9" i="5"/>
  <c r="H93" i="1"/>
  <c r="Q92" i="5" s="1"/>
  <c r="Z92" i="5" s="1"/>
  <c r="N92" i="5"/>
  <c r="X92" i="5" s="1"/>
  <c r="AC66" i="5"/>
  <c r="AF66" i="5"/>
  <c r="AB66" i="5"/>
  <c r="AA66" i="5"/>
  <c r="W66" i="5"/>
  <c r="AE66" i="5"/>
  <c r="AD66" i="5"/>
  <c r="AG80" i="5"/>
  <c r="AN80" i="5" s="1"/>
  <c r="AC10" i="5"/>
  <c r="AB10" i="5"/>
  <c r="AA10" i="5"/>
  <c r="AD10" i="5"/>
  <c r="W10" i="5"/>
  <c r="H91" i="1"/>
  <c r="X90" i="5"/>
  <c r="H61" i="1"/>
  <c r="Q61" i="5" s="1"/>
  <c r="Z61" i="5" s="1"/>
  <c r="H49" i="1"/>
  <c r="Q49" i="5" s="1"/>
  <c r="Z49" i="5" s="1"/>
  <c r="H60" i="1"/>
  <c r="Q60" i="5" s="1"/>
  <c r="Z60" i="5" s="1"/>
  <c r="H48" i="1"/>
  <c r="Q48" i="5" s="1"/>
  <c r="Z48" i="5" s="1"/>
  <c r="H62" i="1"/>
  <c r="Q62" i="5" s="1"/>
  <c r="Z62" i="5" s="1"/>
  <c r="H70" i="1"/>
  <c r="Q70" i="5" s="1"/>
  <c r="Z70" i="5" s="1"/>
  <c r="H58" i="1"/>
  <c r="Q58" i="5" s="1"/>
  <c r="Z58" i="5" s="1"/>
  <c r="H55" i="1"/>
  <c r="Q55" i="5" s="1"/>
  <c r="Z55" i="5" s="1"/>
  <c r="H71" i="1"/>
  <c r="Q71" i="5" s="1"/>
  <c r="Z71" i="5" s="1"/>
  <c r="H57" i="1"/>
  <c r="Q57" i="5" s="1"/>
  <c r="Z57" i="5" s="1"/>
  <c r="H67" i="1"/>
  <c r="Q67" i="5" s="1"/>
  <c r="Z67" i="5" s="1"/>
  <c r="H54" i="1"/>
  <c r="Q54" i="5" s="1"/>
  <c r="Z54" i="5" s="1"/>
  <c r="H59" i="1"/>
  <c r="Q59" i="5" s="1"/>
  <c r="Z59" i="5" s="1"/>
  <c r="H68" i="1"/>
  <c r="Q68" i="5" s="1"/>
  <c r="Z68" i="5" s="1"/>
  <c r="H65" i="1"/>
  <c r="Q65" i="5" s="1"/>
  <c r="Z65" i="5" s="1"/>
  <c r="H53" i="1"/>
  <c r="Q53" i="5" s="1"/>
  <c r="Z53" i="5" s="1"/>
  <c r="H50" i="1"/>
  <c r="Q50" i="5" s="1"/>
  <c r="Z50" i="5" s="1"/>
  <c r="H69" i="1"/>
  <c r="Q69" i="5" s="1"/>
  <c r="Z69" i="5" s="1"/>
  <c r="H64" i="1"/>
  <c r="Q64" i="5" s="1"/>
  <c r="Z64" i="5" s="1"/>
  <c r="H52" i="1"/>
  <c r="Q52" i="5" s="1"/>
  <c r="Z52" i="5" s="1"/>
  <c r="H56" i="1"/>
  <c r="Q56" i="5" s="1"/>
  <c r="Z56" i="5" s="1"/>
  <c r="H63" i="1"/>
  <c r="Q63" i="5" s="1"/>
  <c r="Z63" i="5" s="1"/>
  <c r="H51" i="1"/>
  <c r="Q51" i="5" s="1"/>
  <c r="Z51" i="5" s="1"/>
  <c r="H47" i="1"/>
  <c r="Q47" i="5" s="1"/>
  <c r="Z47" i="5" s="1"/>
  <c r="H46" i="1"/>
  <c r="Q46" i="5" s="1"/>
  <c r="Z46" i="5" s="1"/>
  <c r="O24" i="1"/>
  <c r="O25" i="1"/>
  <c r="S13" i="7" l="1"/>
  <c r="E15" i="18" s="1"/>
  <c r="W40" i="5"/>
  <c r="AD40" i="5"/>
  <c r="AB40" i="5"/>
  <c r="AG88" i="5"/>
  <c r="AC40" i="5"/>
  <c r="AA40" i="5"/>
  <c r="AE40" i="5"/>
  <c r="AG79" i="5"/>
  <c r="AN79" i="5" s="1"/>
  <c r="J14" i="7"/>
  <c r="S14" i="7" s="1"/>
  <c r="E16" i="18" s="1"/>
  <c r="Q90" i="5"/>
  <c r="Z90" i="5" s="1"/>
  <c r="AG37" i="5"/>
  <c r="AN37" i="5" s="1"/>
  <c r="J25" i="1"/>
  <c r="S25" i="5" s="1"/>
  <c r="D25" i="1"/>
  <c r="M25" i="5" s="1"/>
  <c r="J24" i="1"/>
  <c r="S24" i="5" s="1"/>
  <c r="G24" i="1"/>
  <c r="P24" i="5" s="1"/>
  <c r="AI24" i="5" s="1"/>
  <c r="AM24" i="5" s="1"/>
  <c r="D24" i="1"/>
  <c r="M24" i="5" s="1"/>
  <c r="F58" i="1"/>
  <c r="O58" i="5" s="1"/>
  <c r="Y58" i="5" s="1"/>
  <c r="AG58" i="5" s="1"/>
  <c r="G58" i="1"/>
  <c r="P58" i="5" s="1"/>
  <c r="AI58" i="5" s="1"/>
  <c r="AM58" i="5" s="1"/>
  <c r="I58" i="1"/>
  <c r="R58" i="5" s="1"/>
  <c r="J58" i="1"/>
  <c r="S58" i="5" s="1"/>
  <c r="K58" i="1"/>
  <c r="T58" i="5" s="1"/>
  <c r="L58" i="1"/>
  <c r="U58" i="5" s="1"/>
  <c r="M58" i="1"/>
  <c r="V58" i="5" s="1"/>
  <c r="F98" i="1"/>
  <c r="G98" i="1"/>
  <c r="I98" i="1"/>
  <c r="K13" i="7" s="1"/>
  <c r="J98" i="1"/>
  <c r="L13" i="7" s="1"/>
  <c r="K98" i="1"/>
  <c r="M13" i="7" s="1"/>
  <c r="L98" i="1"/>
  <c r="N13" i="7" s="1"/>
  <c r="M98" i="1"/>
  <c r="O13" i="7" s="1"/>
  <c r="F99" i="1"/>
  <c r="G99" i="1"/>
  <c r="I99" i="1"/>
  <c r="J99" i="1"/>
  <c r="K99" i="1"/>
  <c r="L99" i="1"/>
  <c r="M99" i="1"/>
  <c r="F84" i="1"/>
  <c r="O84" i="5" s="1"/>
  <c r="Y84" i="5" s="1"/>
  <c r="AG84" i="5" s="1"/>
  <c r="G84" i="1"/>
  <c r="P84" i="5" s="1"/>
  <c r="AI84" i="5" s="1"/>
  <c r="AM84" i="5" s="1"/>
  <c r="I84" i="1"/>
  <c r="R84" i="5" s="1"/>
  <c r="J84" i="1"/>
  <c r="S84" i="5" s="1"/>
  <c r="K84" i="1"/>
  <c r="T84" i="5" s="1"/>
  <c r="L84" i="1"/>
  <c r="U84" i="5" s="1"/>
  <c r="M84" i="1"/>
  <c r="V84" i="5" s="1"/>
  <c r="F85" i="1"/>
  <c r="O85" i="5" s="1"/>
  <c r="Y85" i="5" s="1"/>
  <c r="AG85" i="5" s="1"/>
  <c r="G85" i="1"/>
  <c r="P85" i="5" s="1"/>
  <c r="AI85" i="5" s="1"/>
  <c r="AM85" i="5" s="1"/>
  <c r="I85" i="1"/>
  <c r="R85" i="5" s="1"/>
  <c r="J85" i="1"/>
  <c r="S85" i="5" s="1"/>
  <c r="K85" i="1"/>
  <c r="T85" i="5" s="1"/>
  <c r="L85" i="1"/>
  <c r="U85" i="5" s="1"/>
  <c r="M85" i="1"/>
  <c r="V85" i="5" s="1"/>
  <c r="F93" i="1"/>
  <c r="O92" i="5" s="1"/>
  <c r="Y92" i="5" s="1"/>
  <c r="AG92" i="5" s="1"/>
  <c r="G93" i="1"/>
  <c r="P92" i="5" s="1"/>
  <c r="AI92" i="5" s="1"/>
  <c r="AM92" i="5" s="1"/>
  <c r="I93" i="1"/>
  <c r="R92" i="5" s="1"/>
  <c r="J93" i="1"/>
  <c r="S92" i="5" s="1"/>
  <c r="K93" i="1"/>
  <c r="T92" i="5" s="1"/>
  <c r="L93" i="1"/>
  <c r="U92" i="5" s="1"/>
  <c r="M93" i="1"/>
  <c r="V92" i="5" s="1"/>
  <c r="F92" i="1"/>
  <c r="O91" i="5" s="1"/>
  <c r="Y91" i="5" s="1"/>
  <c r="AG91" i="5" s="1"/>
  <c r="G92" i="1"/>
  <c r="P91" i="5" s="1"/>
  <c r="AI91" i="5" s="1"/>
  <c r="AM91" i="5" s="1"/>
  <c r="I92" i="1"/>
  <c r="R91" i="5" s="1"/>
  <c r="J92" i="1"/>
  <c r="S91" i="5" s="1"/>
  <c r="K92" i="1"/>
  <c r="T91" i="5" s="1"/>
  <c r="L92" i="1"/>
  <c r="U91" i="5" s="1"/>
  <c r="M92" i="1"/>
  <c r="V91" i="5" s="1"/>
  <c r="F91" i="1"/>
  <c r="G91" i="1"/>
  <c r="I91" i="1"/>
  <c r="R90" i="5" s="1"/>
  <c r="J91" i="1"/>
  <c r="S90" i="5" s="1"/>
  <c r="K91" i="1"/>
  <c r="T90" i="5" s="1"/>
  <c r="L91" i="1"/>
  <c r="U90" i="5" s="1"/>
  <c r="M91" i="1"/>
  <c r="V90" i="5" s="1"/>
  <c r="F96" i="1"/>
  <c r="O95" i="5" s="1"/>
  <c r="Y95" i="5" s="1"/>
  <c r="G96" i="1"/>
  <c r="P95" i="5" s="1"/>
  <c r="AI95" i="5" s="1"/>
  <c r="AM95" i="5" s="1"/>
  <c r="I96" i="1"/>
  <c r="R95" i="5" s="1"/>
  <c r="J96" i="1"/>
  <c r="S95" i="5" s="1"/>
  <c r="K96" i="1"/>
  <c r="T95" i="5" s="1"/>
  <c r="L96" i="1"/>
  <c r="U95" i="5" s="1"/>
  <c r="M96" i="1"/>
  <c r="V95" i="5" s="1"/>
  <c r="F9" i="1"/>
  <c r="O9" i="5" s="1"/>
  <c r="Y9" i="5" s="1"/>
  <c r="G9" i="1"/>
  <c r="P9" i="5" s="1"/>
  <c r="AI9" i="5" s="1"/>
  <c r="AM9" i="5" s="1"/>
  <c r="J9" i="1"/>
  <c r="S9" i="5" s="1"/>
  <c r="L9" i="1"/>
  <c r="U9" i="5" s="1"/>
  <c r="M9" i="1"/>
  <c r="V9" i="5" s="1"/>
  <c r="F10" i="1"/>
  <c r="O10" i="5" s="1"/>
  <c r="Y10" i="5" s="1"/>
  <c r="G10" i="1"/>
  <c r="P10" i="5" s="1"/>
  <c r="AI10" i="5" s="1"/>
  <c r="AM10" i="5" s="1"/>
  <c r="I10" i="1"/>
  <c r="R10" i="5" s="1"/>
  <c r="S10" i="5"/>
  <c r="K10" i="1"/>
  <c r="T10" i="5" s="1"/>
  <c r="M10" i="1"/>
  <c r="V10" i="5" s="1"/>
  <c r="F11" i="1"/>
  <c r="O11" i="5" s="1"/>
  <c r="Y11" i="5" s="1"/>
  <c r="G11" i="1"/>
  <c r="P11" i="5" s="1"/>
  <c r="AI11" i="5" s="1"/>
  <c r="AM11" i="5" s="1"/>
  <c r="I11" i="1"/>
  <c r="R11" i="5" s="1"/>
  <c r="J11" i="1"/>
  <c r="S11" i="5" s="1"/>
  <c r="K11" i="1"/>
  <c r="T11" i="5" s="1"/>
  <c r="L11" i="1"/>
  <c r="U11" i="5" s="1"/>
  <c r="M11" i="1"/>
  <c r="V11" i="5" s="1"/>
  <c r="F12" i="1"/>
  <c r="O12" i="5" s="1"/>
  <c r="Y12" i="5" s="1"/>
  <c r="G12" i="1"/>
  <c r="P12" i="5" s="1"/>
  <c r="AI12" i="5" s="1"/>
  <c r="AM12" i="5" s="1"/>
  <c r="I12" i="1"/>
  <c r="R12" i="5" s="1"/>
  <c r="J12" i="1"/>
  <c r="S12" i="5" s="1"/>
  <c r="K12" i="1"/>
  <c r="T12" i="5" s="1"/>
  <c r="L12" i="1"/>
  <c r="U12" i="5" s="1"/>
  <c r="M12" i="1"/>
  <c r="V12" i="5" s="1"/>
  <c r="F13" i="1"/>
  <c r="O13" i="5" s="1"/>
  <c r="Y13" i="5" s="1"/>
  <c r="G13" i="1"/>
  <c r="P13" i="5" s="1"/>
  <c r="AI13" i="5" s="1"/>
  <c r="AM13" i="5" s="1"/>
  <c r="I13" i="1"/>
  <c r="R13" i="5" s="1"/>
  <c r="J13" i="1"/>
  <c r="S13" i="5" s="1"/>
  <c r="K13" i="1"/>
  <c r="T13" i="5" s="1"/>
  <c r="L13" i="1"/>
  <c r="U13" i="5" s="1"/>
  <c r="M13" i="1"/>
  <c r="V13" i="5" s="1"/>
  <c r="F14" i="1"/>
  <c r="O14" i="5" s="1"/>
  <c r="Y14" i="5" s="1"/>
  <c r="G14" i="1"/>
  <c r="P14" i="5" s="1"/>
  <c r="AI14" i="5" s="1"/>
  <c r="AM14" i="5" s="1"/>
  <c r="I14" i="1"/>
  <c r="R14" i="5" s="1"/>
  <c r="J14" i="1"/>
  <c r="S14" i="5" s="1"/>
  <c r="K14" i="1"/>
  <c r="T14" i="5" s="1"/>
  <c r="L14" i="1"/>
  <c r="U14" i="5" s="1"/>
  <c r="M14" i="1"/>
  <c r="V14" i="5" s="1"/>
  <c r="F15" i="1"/>
  <c r="O15" i="5" s="1"/>
  <c r="Y15" i="5" s="1"/>
  <c r="G15" i="1"/>
  <c r="P15" i="5" s="1"/>
  <c r="AI15" i="5" s="1"/>
  <c r="AM15" i="5" s="1"/>
  <c r="I15" i="1"/>
  <c r="R15" i="5" s="1"/>
  <c r="J15" i="1"/>
  <c r="S15" i="5" s="1"/>
  <c r="K15" i="1"/>
  <c r="T15" i="5" s="1"/>
  <c r="L15" i="1"/>
  <c r="U15" i="5" s="1"/>
  <c r="M15" i="1"/>
  <c r="V15" i="5" s="1"/>
  <c r="F16" i="1"/>
  <c r="O16" i="5" s="1"/>
  <c r="Y16" i="5" s="1"/>
  <c r="G16" i="1"/>
  <c r="P16" i="5" s="1"/>
  <c r="AI16" i="5" s="1"/>
  <c r="AM16" i="5" s="1"/>
  <c r="I16" i="1"/>
  <c r="R16" i="5" s="1"/>
  <c r="K16" i="1"/>
  <c r="T16" i="5" s="1"/>
  <c r="L16" i="1"/>
  <c r="U16" i="5" s="1"/>
  <c r="M16" i="1"/>
  <c r="V16" i="5" s="1"/>
  <c r="F17" i="1"/>
  <c r="O17" i="5" s="1"/>
  <c r="Y17" i="5" s="1"/>
  <c r="G17" i="1"/>
  <c r="P17" i="5" s="1"/>
  <c r="AI17" i="5" s="1"/>
  <c r="AM17" i="5" s="1"/>
  <c r="I17" i="1"/>
  <c r="R17" i="5" s="1"/>
  <c r="J17" i="1"/>
  <c r="S17" i="5" s="1"/>
  <c r="K17" i="1"/>
  <c r="T17" i="5" s="1"/>
  <c r="L17" i="1"/>
  <c r="U17" i="5" s="1"/>
  <c r="M17" i="1"/>
  <c r="V17" i="5" s="1"/>
  <c r="F18" i="1"/>
  <c r="O18" i="5" s="1"/>
  <c r="Y18" i="5" s="1"/>
  <c r="G18" i="1"/>
  <c r="P18" i="5" s="1"/>
  <c r="AI18" i="5" s="1"/>
  <c r="AM18" i="5" s="1"/>
  <c r="I18" i="1"/>
  <c r="R18" i="5" s="1"/>
  <c r="J18" i="1"/>
  <c r="S18" i="5" s="1"/>
  <c r="K18" i="1"/>
  <c r="T18" i="5" s="1"/>
  <c r="L18" i="1"/>
  <c r="U18" i="5" s="1"/>
  <c r="M18" i="1"/>
  <c r="V18" i="5" s="1"/>
  <c r="F19" i="1"/>
  <c r="O19" i="5" s="1"/>
  <c r="Y19" i="5" s="1"/>
  <c r="G19" i="1"/>
  <c r="P19" i="5" s="1"/>
  <c r="AI19" i="5" s="1"/>
  <c r="AM19" i="5" s="1"/>
  <c r="I19" i="1"/>
  <c r="R19" i="5" s="1"/>
  <c r="J19" i="1"/>
  <c r="S19" i="5" s="1"/>
  <c r="K19" i="1"/>
  <c r="T19" i="5" s="1"/>
  <c r="L19" i="1"/>
  <c r="U19" i="5" s="1"/>
  <c r="F20" i="1"/>
  <c r="O20" i="5" s="1"/>
  <c r="Y20" i="5" s="1"/>
  <c r="G20" i="1"/>
  <c r="P20" i="5" s="1"/>
  <c r="AI20" i="5" s="1"/>
  <c r="AM20" i="5" s="1"/>
  <c r="I20" i="1"/>
  <c r="R20" i="5" s="1"/>
  <c r="J20" i="1"/>
  <c r="S20" i="5" s="1"/>
  <c r="K20" i="1"/>
  <c r="T20" i="5" s="1"/>
  <c r="L20" i="1"/>
  <c r="U20" i="5" s="1"/>
  <c r="M20" i="1"/>
  <c r="V20" i="5" s="1"/>
  <c r="F21" i="1"/>
  <c r="O21" i="5" s="1"/>
  <c r="Y21" i="5" s="1"/>
  <c r="G21" i="1"/>
  <c r="P21" i="5" s="1"/>
  <c r="AI21" i="5" s="1"/>
  <c r="AM21" i="5" s="1"/>
  <c r="I21" i="1"/>
  <c r="R21" i="5" s="1"/>
  <c r="J21" i="1"/>
  <c r="S21" i="5" s="1"/>
  <c r="K21" i="1"/>
  <c r="T21" i="5" s="1"/>
  <c r="L21" i="1"/>
  <c r="U21" i="5" s="1"/>
  <c r="M21" i="1"/>
  <c r="V21" i="5" s="1"/>
  <c r="F22" i="1"/>
  <c r="O22" i="5" s="1"/>
  <c r="Y22" i="5" s="1"/>
  <c r="G22" i="1"/>
  <c r="P22" i="5" s="1"/>
  <c r="AI22" i="5" s="1"/>
  <c r="AM22" i="5" s="1"/>
  <c r="I22" i="1"/>
  <c r="R22" i="5" s="1"/>
  <c r="J22" i="1"/>
  <c r="S22" i="5" s="1"/>
  <c r="K22" i="1"/>
  <c r="T22" i="5" s="1"/>
  <c r="L22" i="1"/>
  <c r="U22" i="5" s="1"/>
  <c r="M22" i="1"/>
  <c r="V22" i="5" s="1"/>
  <c r="F23" i="1"/>
  <c r="O23" i="5" s="1"/>
  <c r="Y23" i="5" s="1"/>
  <c r="G23" i="1"/>
  <c r="P23" i="5" s="1"/>
  <c r="AI23" i="5" s="1"/>
  <c r="AM23" i="5" s="1"/>
  <c r="I23" i="1"/>
  <c r="R23" i="5" s="1"/>
  <c r="J23" i="1"/>
  <c r="S23" i="5" s="1"/>
  <c r="K23" i="1"/>
  <c r="T23" i="5" s="1"/>
  <c r="L23" i="1"/>
  <c r="U23" i="5" s="1"/>
  <c r="M23" i="1"/>
  <c r="V23" i="5" s="1"/>
  <c r="F24" i="1"/>
  <c r="O24" i="5" s="1"/>
  <c r="Y24" i="5" s="1"/>
  <c r="I24" i="1"/>
  <c r="R24" i="5" s="1"/>
  <c r="K24" i="1"/>
  <c r="T24" i="5" s="1"/>
  <c r="L24" i="1"/>
  <c r="U24" i="5" s="1"/>
  <c r="M24" i="1"/>
  <c r="V24" i="5" s="1"/>
  <c r="F25" i="1"/>
  <c r="O25" i="5" s="1"/>
  <c r="Y25" i="5" s="1"/>
  <c r="G25" i="1"/>
  <c r="P25" i="5" s="1"/>
  <c r="AI25" i="5" s="1"/>
  <c r="AM25" i="5" s="1"/>
  <c r="I25" i="1"/>
  <c r="R25" i="5" s="1"/>
  <c r="K25" i="1"/>
  <c r="T25" i="5" s="1"/>
  <c r="L25" i="1"/>
  <c r="U25" i="5" s="1"/>
  <c r="M25" i="1"/>
  <c r="V25" i="5" s="1"/>
  <c r="F26" i="1"/>
  <c r="O26" i="5" s="1"/>
  <c r="Y26" i="5" s="1"/>
  <c r="G26" i="1"/>
  <c r="P26" i="5" s="1"/>
  <c r="AI26" i="5" s="1"/>
  <c r="AM26" i="5" s="1"/>
  <c r="I26" i="1"/>
  <c r="R26" i="5" s="1"/>
  <c r="S26" i="5"/>
  <c r="K26" i="1"/>
  <c r="T26" i="5" s="1"/>
  <c r="L26" i="1"/>
  <c r="U26" i="5" s="1"/>
  <c r="M26" i="1"/>
  <c r="V26" i="5" s="1"/>
  <c r="F27" i="1"/>
  <c r="O27" i="5" s="1"/>
  <c r="Y27" i="5" s="1"/>
  <c r="G27" i="1"/>
  <c r="P27" i="5" s="1"/>
  <c r="AI27" i="5" s="1"/>
  <c r="AM27" i="5" s="1"/>
  <c r="I27" i="1"/>
  <c r="R27" i="5" s="1"/>
  <c r="J27" i="1"/>
  <c r="S27" i="5" s="1"/>
  <c r="K27" i="1"/>
  <c r="T27" i="5" s="1"/>
  <c r="L27" i="1"/>
  <c r="U27" i="5" s="1"/>
  <c r="M27" i="1"/>
  <c r="V27" i="5" s="1"/>
  <c r="F28" i="1"/>
  <c r="O28" i="5" s="1"/>
  <c r="Y28" i="5" s="1"/>
  <c r="G28" i="1"/>
  <c r="P28" i="5" s="1"/>
  <c r="AI28" i="5" s="1"/>
  <c r="AM28" i="5" s="1"/>
  <c r="I28" i="1"/>
  <c r="R28" i="5" s="1"/>
  <c r="J28" i="1"/>
  <c r="S28" i="5" s="1"/>
  <c r="K28" i="1"/>
  <c r="T28" i="5" s="1"/>
  <c r="L28" i="1"/>
  <c r="U28" i="5" s="1"/>
  <c r="M28" i="1"/>
  <c r="V28" i="5" s="1"/>
  <c r="F29" i="1"/>
  <c r="O29" i="5" s="1"/>
  <c r="Y29" i="5" s="1"/>
  <c r="G29" i="1"/>
  <c r="P29" i="5" s="1"/>
  <c r="AI29" i="5" s="1"/>
  <c r="AM29" i="5" s="1"/>
  <c r="I29" i="1"/>
  <c r="R29" i="5" s="1"/>
  <c r="J29" i="1"/>
  <c r="S29" i="5" s="1"/>
  <c r="K29" i="1"/>
  <c r="T29" i="5" s="1"/>
  <c r="L29" i="1"/>
  <c r="U29" i="5" s="1"/>
  <c r="M29" i="1"/>
  <c r="V29" i="5" s="1"/>
  <c r="F30" i="1"/>
  <c r="O30" i="5" s="1"/>
  <c r="Y30" i="5" s="1"/>
  <c r="G30" i="1"/>
  <c r="P30" i="5" s="1"/>
  <c r="AI30" i="5" s="1"/>
  <c r="AM30" i="5" s="1"/>
  <c r="I30" i="1"/>
  <c r="R30" i="5" s="1"/>
  <c r="J30" i="1"/>
  <c r="S30" i="5" s="1"/>
  <c r="K30" i="1"/>
  <c r="T30" i="5" s="1"/>
  <c r="L30" i="1"/>
  <c r="U30" i="5" s="1"/>
  <c r="M30" i="1"/>
  <c r="V30" i="5" s="1"/>
  <c r="F31" i="1"/>
  <c r="O31" i="5" s="1"/>
  <c r="Y31" i="5" s="1"/>
  <c r="G31" i="1"/>
  <c r="P31" i="5" s="1"/>
  <c r="AI31" i="5" s="1"/>
  <c r="AM31" i="5" s="1"/>
  <c r="I31" i="1"/>
  <c r="R31" i="5" s="1"/>
  <c r="J31" i="1"/>
  <c r="S31" i="5" s="1"/>
  <c r="K31" i="1"/>
  <c r="T31" i="5" s="1"/>
  <c r="L31" i="1"/>
  <c r="U31" i="5" s="1"/>
  <c r="M31" i="1"/>
  <c r="V31" i="5" s="1"/>
  <c r="F32" i="1"/>
  <c r="O32" i="5" s="1"/>
  <c r="Y32" i="5" s="1"/>
  <c r="G32" i="1"/>
  <c r="P32" i="5" s="1"/>
  <c r="AI32" i="5" s="1"/>
  <c r="AM32" i="5" s="1"/>
  <c r="I32" i="1"/>
  <c r="R32" i="5" s="1"/>
  <c r="J32" i="1"/>
  <c r="S32" i="5" s="1"/>
  <c r="K32" i="1"/>
  <c r="T32" i="5" s="1"/>
  <c r="L32" i="1"/>
  <c r="U32" i="5" s="1"/>
  <c r="M32" i="1"/>
  <c r="V32" i="5" s="1"/>
  <c r="F33" i="1"/>
  <c r="O33" i="5" s="1"/>
  <c r="Y33" i="5" s="1"/>
  <c r="G33" i="1"/>
  <c r="P33" i="5" s="1"/>
  <c r="AI33" i="5" s="1"/>
  <c r="AM33" i="5" s="1"/>
  <c r="I33" i="1"/>
  <c r="R33" i="5" s="1"/>
  <c r="J33" i="1"/>
  <c r="S33" i="5" s="1"/>
  <c r="K33" i="1"/>
  <c r="T33" i="5" s="1"/>
  <c r="L33" i="1"/>
  <c r="U33" i="5" s="1"/>
  <c r="M33" i="1"/>
  <c r="V33" i="5" s="1"/>
  <c r="F34" i="1"/>
  <c r="O34" i="5" s="1"/>
  <c r="Y34" i="5" s="1"/>
  <c r="G34" i="1"/>
  <c r="P34" i="5" s="1"/>
  <c r="AI34" i="5" s="1"/>
  <c r="AM34" i="5" s="1"/>
  <c r="I34" i="1"/>
  <c r="R34" i="5" s="1"/>
  <c r="J34" i="1"/>
  <c r="S34" i="5" s="1"/>
  <c r="K34" i="1"/>
  <c r="T34" i="5" s="1"/>
  <c r="L34" i="1"/>
  <c r="U34" i="5" s="1"/>
  <c r="M34" i="1"/>
  <c r="V34" i="5" s="1"/>
  <c r="F35" i="1"/>
  <c r="O35" i="5" s="1"/>
  <c r="Y35" i="5" s="1"/>
  <c r="G35" i="1"/>
  <c r="P35" i="5" s="1"/>
  <c r="AI35" i="5" s="1"/>
  <c r="AM35" i="5" s="1"/>
  <c r="I35" i="1"/>
  <c r="R35" i="5" s="1"/>
  <c r="J35" i="1"/>
  <c r="S35" i="5" s="1"/>
  <c r="K35" i="1"/>
  <c r="T35" i="5" s="1"/>
  <c r="L35" i="1"/>
  <c r="U35" i="5" s="1"/>
  <c r="M35" i="1"/>
  <c r="V35" i="5" s="1"/>
  <c r="F36" i="1"/>
  <c r="O36" i="5" s="1"/>
  <c r="Y36" i="5" s="1"/>
  <c r="G36" i="1"/>
  <c r="P36" i="5" s="1"/>
  <c r="AI36" i="5" s="1"/>
  <c r="AM36" i="5" s="1"/>
  <c r="I36" i="1"/>
  <c r="R36" i="5" s="1"/>
  <c r="J36" i="1"/>
  <c r="S36" i="5" s="1"/>
  <c r="K36" i="1"/>
  <c r="T36" i="5" s="1"/>
  <c r="L36" i="1"/>
  <c r="U36" i="5" s="1"/>
  <c r="M36" i="1"/>
  <c r="V36" i="5" s="1"/>
  <c r="F38" i="1"/>
  <c r="O38" i="5" s="1"/>
  <c r="Y38" i="5" s="1"/>
  <c r="G38" i="1"/>
  <c r="P38" i="5" s="1"/>
  <c r="AI38" i="5" s="1"/>
  <c r="AM38" i="5" s="1"/>
  <c r="I38" i="1"/>
  <c r="R38" i="5" s="1"/>
  <c r="J38" i="1"/>
  <c r="S38" i="5" s="1"/>
  <c r="K38" i="1"/>
  <c r="T38" i="5" s="1"/>
  <c r="L38" i="1"/>
  <c r="U38" i="5" s="1"/>
  <c r="M38" i="1"/>
  <c r="V38" i="5" s="1"/>
  <c r="F40" i="1"/>
  <c r="O40" i="5" s="1"/>
  <c r="Y40" i="5" s="1"/>
  <c r="G40" i="1"/>
  <c r="P40" i="5" s="1"/>
  <c r="AI40" i="5" s="1"/>
  <c r="AM40" i="5" s="1"/>
  <c r="I40" i="1"/>
  <c r="R40" i="5" s="1"/>
  <c r="J40" i="1"/>
  <c r="S40" i="5" s="1"/>
  <c r="K40" i="1"/>
  <c r="T40" i="5" s="1"/>
  <c r="L40" i="1"/>
  <c r="U40" i="5" s="1"/>
  <c r="M40" i="1"/>
  <c r="V40" i="5" s="1"/>
  <c r="F41" i="1"/>
  <c r="O41" i="5" s="1"/>
  <c r="Y41" i="5" s="1"/>
  <c r="G41" i="1"/>
  <c r="P41" i="5" s="1"/>
  <c r="AI41" i="5" s="1"/>
  <c r="AM41" i="5" s="1"/>
  <c r="I41" i="1"/>
  <c r="R41" i="5" s="1"/>
  <c r="J41" i="1"/>
  <c r="S41" i="5" s="1"/>
  <c r="K41" i="1"/>
  <c r="T41" i="5" s="1"/>
  <c r="L41" i="1"/>
  <c r="U41" i="5" s="1"/>
  <c r="M41" i="1"/>
  <c r="V41" i="5" s="1"/>
  <c r="F42" i="1"/>
  <c r="O42" i="5" s="1"/>
  <c r="Y42" i="5" s="1"/>
  <c r="G42" i="1"/>
  <c r="P42" i="5" s="1"/>
  <c r="AI42" i="5" s="1"/>
  <c r="AM42" i="5" s="1"/>
  <c r="I42" i="1"/>
  <c r="R42" i="5" s="1"/>
  <c r="J42" i="1"/>
  <c r="S42" i="5" s="1"/>
  <c r="K42" i="1"/>
  <c r="T42" i="5" s="1"/>
  <c r="L42" i="1"/>
  <c r="U42" i="5" s="1"/>
  <c r="M42" i="1"/>
  <c r="V42" i="5" s="1"/>
  <c r="F43" i="1"/>
  <c r="O43" i="5" s="1"/>
  <c r="Y43" i="5" s="1"/>
  <c r="G43" i="1"/>
  <c r="P43" i="5" s="1"/>
  <c r="AI43" i="5" s="1"/>
  <c r="AM43" i="5" s="1"/>
  <c r="I43" i="1"/>
  <c r="R43" i="5" s="1"/>
  <c r="J43" i="1"/>
  <c r="S43" i="5" s="1"/>
  <c r="K43" i="1"/>
  <c r="T43" i="5" s="1"/>
  <c r="L43" i="1"/>
  <c r="U43" i="5" s="1"/>
  <c r="M43" i="1"/>
  <c r="V43" i="5" s="1"/>
  <c r="F44" i="1"/>
  <c r="O44" i="5" s="1"/>
  <c r="Y44" i="5" s="1"/>
  <c r="G44" i="1"/>
  <c r="P44" i="5" s="1"/>
  <c r="AI44" i="5" s="1"/>
  <c r="AM44" i="5" s="1"/>
  <c r="I44" i="1"/>
  <c r="R44" i="5" s="1"/>
  <c r="J44" i="1"/>
  <c r="S44" i="5" s="1"/>
  <c r="K44" i="1"/>
  <c r="T44" i="5" s="1"/>
  <c r="L44" i="1"/>
  <c r="U44" i="5" s="1"/>
  <c r="M44" i="1"/>
  <c r="V44" i="5" s="1"/>
  <c r="F100" i="1"/>
  <c r="G100" i="1"/>
  <c r="I100" i="1"/>
  <c r="J100" i="1"/>
  <c r="K100" i="1"/>
  <c r="L100" i="1"/>
  <c r="M100" i="1"/>
  <c r="F101" i="1"/>
  <c r="G101" i="1"/>
  <c r="I16" i="7" s="1"/>
  <c r="AD16" i="7" s="1"/>
  <c r="I101" i="1"/>
  <c r="K16" i="7" s="1"/>
  <c r="J101" i="1"/>
  <c r="L16" i="7" s="1"/>
  <c r="K101" i="1"/>
  <c r="M16" i="7" s="1"/>
  <c r="L101" i="1"/>
  <c r="N16" i="7" s="1"/>
  <c r="M101" i="1"/>
  <c r="O16" i="7" s="1"/>
  <c r="F102" i="1"/>
  <c r="G102" i="1"/>
  <c r="I17" i="7" s="1"/>
  <c r="AD17" i="7" s="1"/>
  <c r="I102" i="1"/>
  <c r="K17" i="7" s="1"/>
  <c r="J102" i="1"/>
  <c r="L17" i="7" s="1"/>
  <c r="K102" i="1"/>
  <c r="M17" i="7" s="1"/>
  <c r="L102" i="1"/>
  <c r="N17" i="7" s="1"/>
  <c r="M102" i="1"/>
  <c r="O17" i="7" s="1"/>
  <c r="F46" i="1"/>
  <c r="O46" i="5" s="1"/>
  <c r="Y46" i="5" s="1"/>
  <c r="AG46" i="5" s="1"/>
  <c r="G46" i="1"/>
  <c r="P46" i="5" s="1"/>
  <c r="AI46" i="5" s="1"/>
  <c r="AM46" i="5" s="1"/>
  <c r="I46" i="1"/>
  <c r="R46" i="5" s="1"/>
  <c r="J46" i="1"/>
  <c r="S46" i="5" s="1"/>
  <c r="K46" i="1"/>
  <c r="T46" i="5" s="1"/>
  <c r="L46" i="1"/>
  <c r="U46" i="5" s="1"/>
  <c r="M46" i="1"/>
  <c r="V46" i="5" s="1"/>
  <c r="F47" i="1"/>
  <c r="O47" i="5" s="1"/>
  <c r="Y47" i="5" s="1"/>
  <c r="AG47" i="5" s="1"/>
  <c r="G47" i="1"/>
  <c r="P47" i="5" s="1"/>
  <c r="AI47" i="5" s="1"/>
  <c r="AM47" i="5" s="1"/>
  <c r="I47" i="1"/>
  <c r="R47" i="5" s="1"/>
  <c r="J47" i="1"/>
  <c r="S47" i="5" s="1"/>
  <c r="K47" i="1"/>
  <c r="T47" i="5" s="1"/>
  <c r="L47" i="1"/>
  <c r="U47" i="5" s="1"/>
  <c r="M47" i="1"/>
  <c r="V47" i="5" s="1"/>
  <c r="F48" i="1"/>
  <c r="O48" i="5" s="1"/>
  <c r="Y48" i="5" s="1"/>
  <c r="AG48" i="5" s="1"/>
  <c r="G48" i="1"/>
  <c r="P48" i="5" s="1"/>
  <c r="AI48" i="5" s="1"/>
  <c r="AM48" i="5" s="1"/>
  <c r="I48" i="1"/>
  <c r="R48" i="5" s="1"/>
  <c r="J48" i="1"/>
  <c r="S48" i="5" s="1"/>
  <c r="K48" i="1"/>
  <c r="T48" i="5" s="1"/>
  <c r="L48" i="1"/>
  <c r="U48" i="5" s="1"/>
  <c r="M48" i="1"/>
  <c r="V48" i="5" s="1"/>
  <c r="F49" i="1"/>
  <c r="O49" i="5" s="1"/>
  <c r="Y49" i="5" s="1"/>
  <c r="AG49" i="5" s="1"/>
  <c r="G49" i="1"/>
  <c r="P49" i="5" s="1"/>
  <c r="AI49" i="5" s="1"/>
  <c r="AM49" i="5" s="1"/>
  <c r="I49" i="1"/>
  <c r="R49" i="5" s="1"/>
  <c r="J49" i="1"/>
  <c r="S49" i="5" s="1"/>
  <c r="K49" i="1"/>
  <c r="T49" i="5" s="1"/>
  <c r="L49" i="1"/>
  <c r="U49" i="5" s="1"/>
  <c r="M49" i="1"/>
  <c r="V49" i="5" s="1"/>
  <c r="F50" i="1"/>
  <c r="O50" i="5" s="1"/>
  <c r="Y50" i="5" s="1"/>
  <c r="AG50" i="5" s="1"/>
  <c r="G50" i="1"/>
  <c r="P50" i="5" s="1"/>
  <c r="AI50" i="5" s="1"/>
  <c r="AM50" i="5" s="1"/>
  <c r="I50" i="1"/>
  <c r="R50" i="5" s="1"/>
  <c r="J50" i="1"/>
  <c r="S50" i="5" s="1"/>
  <c r="K50" i="1"/>
  <c r="T50" i="5" s="1"/>
  <c r="L50" i="1"/>
  <c r="U50" i="5" s="1"/>
  <c r="M50" i="1"/>
  <c r="V50" i="5" s="1"/>
  <c r="F51" i="1"/>
  <c r="O51" i="5" s="1"/>
  <c r="Y51" i="5" s="1"/>
  <c r="AG51" i="5" s="1"/>
  <c r="G51" i="1"/>
  <c r="P51" i="5" s="1"/>
  <c r="AI51" i="5" s="1"/>
  <c r="AM51" i="5" s="1"/>
  <c r="I51" i="1"/>
  <c r="R51" i="5" s="1"/>
  <c r="J51" i="1"/>
  <c r="S51" i="5" s="1"/>
  <c r="K51" i="1"/>
  <c r="T51" i="5" s="1"/>
  <c r="L51" i="1"/>
  <c r="U51" i="5" s="1"/>
  <c r="M51" i="1"/>
  <c r="V51" i="5" s="1"/>
  <c r="F52" i="1"/>
  <c r="O52" i="5" s="1"/>
  <c r="Y52" i="5" s="1"/>
  <c r="AG52" i="5" s="1"/>
  <c r="G52" i="1"/>
  <c r="P52" i="5" s="1"/>
  <c r="AI52" i="5" s="1"/>
  <c r="AM52" i="5" s="1"/>
  <c r="I52" i="1"/>
  <c r="R52" i="5" s="1"/>
  <c r="J52" i="1"/>
  <c r="S52" i="5" s="1"/>
  <c r="K52" i="1"/>
  <c r="T52" i="5" s="1"/>
  <c r="L52" i="1"/>
  <c r="U52" i="5" s="1"/>
  <c r="M52" i="1"/>
  <c r="V52" i="5" s="1"/>
  <c r="F53" i="1"/>
  <c r="O53" i="5" s="1"/>
  <c r="Y53" i="5" s="1"/>
  <c r="AG53" i="5" s="1"/>
  <c r="G53" i="1"/>
  <c r="P53" i="5" s="1"/>
  <c r="AI53" i="5" s="1"/>
  <c r="AM53" i="5" s="1"/>
  <c r="I53" i="1"/>
  <c r="R53" i="5" s="1"/>
  <c r="J53" i="1"/>
  <c r="S53" i="5" s="1"/>
  <c r="K53" i="1"/>
  <c r="T53" i="5" s="1"/>
  <c r="L53" i="1"/>
  <c r="U53" i="5" s="1"/>
  <c r="M53" i="1"/>
  <c r="V53" i="5" s="1"/>
  <c r="F54" i="1"/>
  <c r="O54" i="5" s="1"/>
  <c r="Y54" i="5" s="1"/>
  <c r="AG54" i="5" s="1"/>
  <c r="G54" i="1"/>
  <c r="P54" i="5" s="1"/>
  <c r="AI54" i="5" s="1"/>
  <c r="AM54" i="5" s="1"/>
  <c r="I54" i="1"/>
  <c r="R54" i="5" s="1"/>
  <c r="J54" i="1"/>
  <c r="S54" i="5" s="1"/>
  <c r="K54" i="1"/>
  <c r="T54" i="5" s="1"/>
  <c r="L54" i="1"/>
  <c r="U54" i="5" s="1"/>
  <c r="M54" i="1"/>
  <c r="V54" i="5" s="1"/>
  <c r="F55" i="1"/>
  <c r="O55" i="5" s="1"/>
  <c r="Y55" i="5" s="1"/>
  <c r="AG55" i="5" s="1"/>
  <c r="AN55" i="5" s="1"/>
  <c r="G55" i="1"/>
  <c r="P55" i="5" s="1"/>
  <c r="AI55" i="5" s="1"/>
  <c r="I55" i="1"/>
  <c r="R55" i="5" s="1"/>
  <c r="J55" i="1"/>
  <c r="S55" i="5" s="1"/>
  <c r="K55" i="1"/>
  <c r="T55" i="5" s="1"/>
  <c r="L55" i="1"/>
  <c r="U55" i="5" s="1"/>
  <c r="M55" i="1"/>
  <c r="V55" i="5" s="1"/>
  <c r="F56" i="1"/>
  <c r="O56" i="5" s="1"/>
  <c r="Y56" i="5" s="1"/>
  <c r="AG56" i="5" s="1"/>
  <c r="G56" i="1"/>
  <c r="P56" i="5" s="1"/>
  <c r="AI56" i="5" s="1"/>
  <c r="AM56" i="5" s="1"/>
  <c r="I56" i="1"/>
  <c r="R56" i="5" s="1"/>
  <c r="J56" i="1"/>
  <c r="S56" i="5" s="1"/>
  <c r="K56" i="1"/>
  <c r="T56" i="5" s="1"/>
  <c r="L56" i="1"/>
  <c r="U56" i="5" s="1"/>
  <c r="M56" i="1"/>
  <c r="V56" i="5" s="1"/>
  <c r="F57" i="1"/>
  <c r="O57" i="5" s="1"/>
  <c r="Y57" i="5" s="1"/>
  <c r="AG57" i="5" s="1"/>
  <c r="G57" i="1"/>
  <c r="P57" i="5" s="1"/>
  <c r="AI57" i="5" s="1"/>
  <c r="AM57" i="5" s="1"/>
  <c r="I57" i="1"/>
  <c r="R57" i="5" s="1"/>
  <c r="J57" i="1"/>
  <c r="S57" i="5" s="1"/>
  <c r="K57" i="1"/>
  <c r="T57" i="5" s="1"/>
  <c r="L57" i="1"/>
  <c r="U57" i="5" s="1"/>
  <c r="M57" i="1"/>
  <c r="V57" i="5" s="1"/>
  <c r="F59" i="1"/>
  <c r="O59" i="5" s="1"/>
  <c r="Y59" i="5" s="1"/>
  <c r="AG59" i="5" s="1"/>
  <c r="G59" i="1"/>
  <c r="P59" i="5" s="1"/>
  <c r="AI59" i="5" s="1"/>
  <c r="AM59" i="5" s="1"/>
  <c r="I59" i="1"/>
  <c r="R59" i="5" s="1"/>
  <c r="J59" i="1"/>
  <c r="S59" i="5" s="1"/>
  <c r="K59" i="1"/>
  <c r="T59" i="5" s="1"/>
  <c r="L59" i="1"/>
  <c r="U59" i="5" s="1"/>
  <c r="M59" i="1"/>
  <c r="V59" i="5" s="1"/>
  <c r="F60" i="1"/>
  <c r="O60" i="5" s="1"/>
  <c r="Y60" i="5" s="1"/>
  <c r="AG60" i="5" s="1"/>
  <c r="G60" i="1"/>
  <c r="P60" i="5" s="1"/>
  <c r="AI60" i="5" s="1"/>
  <c r="AM60" i="5" s="1"/>
  <c r="I60" i="1"/>
  <c r="R60" i="5" s="1"/>
  <c r="J60" i="1"/>
  <c r="S60" i="5" s="1"/>
  <c r="K60" i="1"/>
  <c r="T60" i="5" s="1"/>
  <c r="L60" i="1"/>
  <c r="U60" i="5" s="1"/>
  <c r="M60" i="1"/>
  <c r="V60" i="5" s="1"/>
  <c r="F61" i="1"/>
  <c r="O61" i="5" s="1"/>
  <c r="Y61" i="5" s="1"/>
  <c r="AG61" i="5" s="1"/>
  <c r="G61" i="1"/>
  <c r="P61" i="5" s="1"/>
  <c r="AI61" i="5" s="1"/>
  <c r="AM61" i="5" s="1"/>
  <c r="I61" i="1"/>
  <c r="R61" i="5" s="1"/>
  <c r="J61" i="1"/>
  <c r="S61" i="5" s="1"/>
  <c r="K61" i="1"/>
  <c r="T61" i="5" s="1"/>
  <c r="L61" i="1"/>
  <c r="U61" i="5" s="1"/>
  <c r="M61" i="1"/>
  <c r="V61" i="5" s="1"/>
  <c r="F62" i="1"/>
  <c r="O62" i="5" s="1"/>
  <c r="Y62" i="5" s="1"/>
  <c r="AG62" i="5" s="1"/>
  <c r="G62" i="1"/>
  <c r="P62" i="5" s="1"/>
  <c r="AI62" i="5" s="1"/>
  <c r="AM62" i="5" s="1"/>
  <c r="I62" i="1"/>
  <c r="R62" i="5" s="1"/>
  <c r="J62" i="1"/>
  <c r="S62" i="5" s="1"/>
  <c r="K62" i="1"/>
  <c r="T62" i="5" s="1"/>
  <c r="L62" i="1"/>
  <c r="U62" i="5" s="1"/>
  <c r="M62" i="1"/>
  <c r="V62" i="5" s="1"/>
  <c r="F74" i="1"/>
  <c r="O74" i="5" s="1"/>
  <c r="Y74" i="5" s="1"/>
  <c r="AG74" i="5" s="1"/>
  <c r="G74" i="1"/>
  <c r="P74" i="5" s="1"/>
  <c r="AI74" i="5" s="1"/>
  <c r="AM74" i="5" s="1"/>
  <c r="I74" i="1"/>
  <c r="R74" i="5" s="1"/>
  <c r="J74" i="1"/>
  <c r="S74" i="5" s="1"/>
  <c r="K74" i="1"/>
  <c r="T74" i="5" s="1"/>
  <c r="L74" i="1"/>
  <c r="U74" i="5" s="1"/>
  <c r="M74" i="1"/>
  <c r="V74" i="5" s="1"/>
  <c r="F68" i="1"/>
  <c r="O68" i="5" s="1"/>
  <c r="Y68" i="5" s="1"/>
  <c r="AG68" i="5" s="1"/>
  <c r="G68" i="1"/>
  <c r="P68" i="5" s="1"/>
  <c r="AI68" i="5" s="1"/>
  <c r="AM68" i="5" s="1"/>
  <c r="I68" i="1"/>
  <c r="R68" i="5" s="1"/>
  <c r="J68" i="1"/>
  <c r="S68" i="5" s="1"/>
  <c r="K68" i="1"/>
  <c r="T68" i="5" s="1"/>
  <c r="L68" i="1"/>
  <c r="U68" i="5" s="1"/>
  <c r="M68" i="1"/>
  <c r="V68" i="5" s="1"/>
  <c r="F69" i="1"/>
  <c r="O69" i="5" s="1"/>
  <c r="Y69" i="5" s="1"/>
  <c r="AG69" i="5" s="1"/>
  <c r="G69" i="1"/>
  <c r="P69" i="5" s="1"/>
  <c r="AI69" i="5" s="1"/>
  <c r="AM69" i="5" s="1"/>
  <c r="I69" i="1"/>
  <c r="R69" i="5" s="1"/>
  <c r="J69" i="1"/>
  <c r="S69" i="5" s="1"/>
  <c r="K69" i="1"/>
  <c r="T69" i="5" s="1"/>
  <c r="L69" i="1"/>
  <c r="U69" i="5" s="1"/>
  <c r="M69" i="1"/>
  <c r="V69" i="5" s="1"/>
  <c r="F70" i="1"/>
  <c r="O70" i="5" s="1"/>
  <c r="Y70" i="5" s="1"/>
  <c r="AG70" i="5" s="1"/>
  <c r="G70" i="1"/>
  <c r="P70" i="5" s="1"/>
  <c r="AI70" i="5" s="1"/>
  <c r="AM70" i="5" s="1"/>
  <c r="I70" i="1"/>
  <c r="R70" i="5" s="1"/>
  <c r="J70" i="1"/>
  <c r="S70" i="5" s="1"/>
  <c r="K70" i="1"/>
  <c r="T70" i="5" s="1"/>
  <c r="L70" i="1"/>
  <c r="U70" i="5" s="1"/>
  <c r="M70" i="1"/>
  <c r="V70" i="5" s="1"/>
  <c r="F71" i="1"/>
  <c r="O71" i="5" s="1"/>
  <c r="Y71" i="5" s="1"/>
  <c r="AG71" i="5" s="1"/>
  <c r="G71" i="1"/>
  <c r="P71" i="5" s="1"/>
  <c r="AI71" i="5" s="1"/>
  <c r="AM71" i="5" s="1"/>
  <c r="I71" i="1"/>
  <c r="R71" i="5" s="1"/>
  <c r="J71" i="1"/>
  <c r="S71" i="5" s="1"/>
  <c r="K71" i="1"/>
  <c r="T71" i="5" s="1"/>
  <c r="L71" i="1"/>
  <c r="U71" i="5" s="1"/>
  <c r="M71" i="1"/>
  <c r="V71" i="5" s="1"/>
  <c r="F72" i="1"/>
  <c r="O72" i="5" s="1"/>
  <c r="Y72" i="5" s="1"/>
  <c r="AG72" i="5" s="1"/>
  <c r="G72" i="1"/>
  <c r="P72" i="5" s="1"/>
  <c r="AI72" i="5" s="1"/>
  <c r="AM72" i="5" s="1"/>
  <c r="I72" i="1"/>
  <c r="R72" i="5" s="1"/>
  <c r="J72" i="1"/>
  <c r="S72" i="5" s="1"/>
  <c r="K72" i="1"/>
  <c r="T72" i="5" s="1"/>
  <c r="L72" i="1"/>
  <c r="U72" i="5" s="1"/>
  <c r="M72" i="1"/>
  <c r="V72" i="5" s="1"/>
  <c r="F73" i="1"/>
  <c r="O73" i="5" s="1"/>
  <c r="Y73" i="5" s="1"/>
  <c r="AG73" i="5" s="1"/>
  <c r="G73" i="1"/>
  <c r="P73" i="5" s="1"/>
  <c r="AI73" i="5" s="1"/>
  <c r="AM73" i="5" s="1"/>
  <c r="I73" i="1"/>
  <c r="R73" i="5" s="1"/>
  <c r="J73" i="1"/>
  <c r="S73" i="5" s="1"/>
  <c r="K73" i="1"/>
  <c r="T73" i="5" s="1"/>
  <c r="L73" i="1"/>
  <c r="U73" i="5" s="1"/>
  <c r="M73" i="1"/>
  <c r="V73" i="5" s="1"/>
  <c r="F67" i="1"/>
  <c r="O67" i="5" s="1"/>
  <c r="Y67" i="5" s="1"/>
  <c r="AG67" i="5" s="1"/>
  <c r="G67" i="1"/>
  <c r="P67" i="5" s="1"/>
  <c r="AI67" i="5" s="1"/>
  <c r="AM67" i="5" s="1"/>
  <c r="I67" i="1"/>
  <c r="R67" i="5" s="1"/>
  <c r="J67" i="1"/>
  <c r="S67" i="5" s="1"/>
  <c r="K67" i="1"/>
  <c r="T67" i="5" s="1"/>
  <c r="L67" i="1"/>
  <c r="U67" i="5" s="1"/>
  <c r="M67" i="1"/>
  <c r="V67" i="5" s="1"/>
  <c r="F64" i="1"/>
  <c r="O64" i="5" s="1"/>
  <c r="Y64" i="5" s="1"/>
  <c r="AG64" i="5" s="1"/>
  <c r="G64" i="1"/>
  <c r="P64" i="5" s="1"/>
  <c r="AI64" i="5" s="1"/>
  <c r="AM64" i="5" s="1"/>
  <c r="I64" i="1"/>
  <c r="R64" i="5" s="1"/>
  <c r="J64" i="1"/>
  <c r="S64" i="5" s="1"/>
  <c r="K64" i="1"/>
  <c r="T64" i="5" s="1"/>
  <c r="L64" i="1"/>
  <c r="U64" i="5" s="1"/>
  <c r="M64" i="1"/>
  <c r="V64" i="5" s="1"/>
  <c r="F65" i="1"/>
  <c r="O65" i="5" s="1"/>
  <c r="Y65" i="5" s="1"/>
  <c r="AG65" i="5" s="1"/>
  <c r="G65" i="1"/>
  <c r="P65" i="5" s="1"/>
  <c r="AI65" i="5" s="1"/>
  <c r="AM65" i="5" s="1"/>
  <c r="I65" i="1"/>
  <c r="R65" i="5" s="1"/>
  <c r="J65" i="1"/>
  <c r="S65" i="5" s="1"/>
  <c r="K65" i="1"/>
  <c r="T65" i="5" s="1"/>
  <c r="L65" i="1"/>
  <c r="U65" i="5" s="1"/>
  <c r="M65" i="1"/>
  <c r="V65" i="5" s="1"/>
  <c r="F63" i="1"/>
  <c r="O63" i="5" s="1"/>
  <c r="Y63" i="5" s="1"/>
  <c r="AG63" i="5" s="1"/>
  <c r="G63" i="1"/>
  <c r="P63" i="5" s="1"/>
  <c r="AI63" i="5" s="1"/>
  <c r="AM63" i="5" s="1"/>
  <c r="I63" i="1"/>
  <c r="R63" i="5" s="1"/>
  <c r="J63" i="1"/>
  <c r="S63" i="5" s="1"/>
  <c r="K63" i="1"/>
  <c r="T63" i="5" s="1"/>
  <c r="L63" i="1"/>
  <c r="U63" i="5" s="1"/>
  <c r="M63" i="1"/>
  <c r="V63" i="5" s="1"/>
  <c r="F66" i="1"/>
  <c r="O66" i="5" s="1"/>
  <c r="Y66" i="5" s="1"/>
  <c r="AG66" i="5" s="1"/>
  <c r="G66" i="1"/>
  <c r="P66" i="5" s="1"/>
  <c r="AI66" i="5" s="1"/>
  <c r="AM66" i="5" s="1"/>
  <c r="I66" i="1"/>
  <c r="R66" i="5" s="1"/>
  <c r="J66" i="1"/>
  <c r="S66" i="5" s="1"/>
  <c r="K66" i="1"/>
  <c r="T66" i="5" s="1"/>
  <c r="L66" i="1"/>
  <c r="U66" i="5" s="1"/>
  <c r="M66" i="1"/>
  <c r="V66" i="5" s="1"/>
  <c r="F77" i="1"/>
  <c r="O77" i="5" s="1"/>
  <c r="Y77" i="5" s="1"/>
  <c r="AG77" i="5" s="1"/>
  <c r="G77" i="1"/>
  <c r="P77" i="5" s="1"/>
  <c r="AI77" i="5" s="1"/>
  <c r="AM77" i="5" s="1"/>
  <c r="I77" i="1"/>
  <c r="R77" i="5" s="1"/>
  <c r="J77" i="1"/>
  <c r="S77" i="5" s="1"/>
  <c r="K77" i="1"/>
  <c r="T77" i="5" s="1"/>
  <c r="L77" i="1"/>
  <c r="U77" i="5" s="1"/>
  <c r="M77" i="1"/>
  <c r="V77" i="5" s="1"/>
  <c r="F78" i="1"/>
  <c r="O78" i="5" s="1"/>
  <c r="Y78" i="5" s="1"/>
  <c r="AG78" i="5" s="1"/>
  <c r="G78" i="1"/>
  <c r="P78" i="5" s="1"/>
  <c r="AI78" i="5" s="1"/>
  <c r="AM78" i="5" s="1"/>
  <c r="I78" i="1"/>
  <c r="R78" i="5" s="1"/>
  <c r="J78" i="1"/>
  <c r="S78" i="5" s="1"/>
  <c r="K78" i="1"/>
  <c r="T78" i="5" s="1"/>
  <c r="L78" i="1"/>
  <c r="U78" i="5" s="1"/>
  <c r="M78" i="1"/>
  <c r="V78" i="5" s="1"/>
  <c r="F75" i="1"/>
  <c r="O75" i="5" s="1"/>
  <c r="Y75" i="5" s="1"/>
  <c r="AG75" i="5" s="1"/>
  <c r="G75" i="1"/>
  <c r="P75" i="5" s="1"/>
  <c r="AI75" i="5" s="1"/>
  <c r="AM75" i="5" s="1"/>
  <c r="I75" i="1"/>
  <c r="R75" i="5" s="1"/>
  <c r="J75" i="1"/>
  <c r="S75" i="5" s="1"/>
  <c r="K75" i="1"/>
  <c r="T75" i="5" s="1"/>
  <c r="L75" i="1"/>
  <c r="U75" i="5" s="1"/>
  <c r="M75" i="1"/>
  <c r="V75" i="5" s="1"/>
  <c r="F76" i="1"/>
  <c r="O76" i="5" s="1"/>
  <c r="Y76" i="5" s="1"/>
  <c r="AG76" i="5" s="1"/>
  <c r="G76" i="1"/>
  <c r="P76" i="5" s="1"/>
  <c r="AI76" i="5" s="1"/>
  <c r="AM76" i="5" s="1"/>
  <c r="I76" i="1"/>
  <c r="R76" i="5" s="1"/>
  <c r="J76" i="1"/>
  <c r="S76" i="5" s="1"/>
  <c r="K76" i="1"/>
  <c r="T76" i="5" s="1"/>
  <c r="L76" i="1"/>
  <c r="U76" i="5" s="1"/>
  <c r="M76" i="1"/>
  <c r="V76" i="5" s="1"/>
  <c r="E96" i="1"/>
  <c r="H9" i="1"/>
  <c r="Q9" i="5" s="1"/>
  <c r="Z9" i="5" s="1"/>
  <c r="E10" i="1"/>
  <c r="N10" i="5" s="1"/>
  <c r="X10" i="5" s="1"/>
  <c r="E11" i="1"/>
  <c r="N11" i="5" s="1"/>
  <c r="X11" i="5" s="1"/>
  <c r="E12" i="1"/>
  <c r="N12" i="5" s="1"/>
  <c r="X12" i="5" s="1"/>
  <c r="E13" i="1"/>
  <c r="N13" i="5" s="1"/>
  <c r="X13" i="5" s="1"/>
  <c r="E14" i="1"/>
  <c r="N14" i="5" s="1"/>
  <c r="X14" i="5" s="1"/>
  <c r="E15" i="1"/>
  <c r="N15" i="5" s="1"/>
  <c r="X15" i="5" s="1"/>
  <c r="E16" i="1"/>
  <c r="N16" i="5" s="1"/>
  <c r="X16" i="5" s="1"/>
  <c r="E17" i="1"/>
  <c r="N17" i="5" s="1"/>
  <c r="X17" i="5" s="1"/>
  <c r="E18" i="1"/>
  <c r="N18" i="5" s="1"/>
  <c r="X18" i="5" s="1"/>
  <c r="E19" i="1"/>
  <c r="N19" i="5" s="1"/>
  <c r="X19" i="5" s="1"/>
  <c r="E20" i="1"/>
  <c r="N20" i="5" s="1"/>
  <c r="X20" i="5" s="1"/>
  <c r="E21" i="1"/>
  <c r="N21" i="5" s="1"/>
  <c r="X21" i="5" s="1"/>
  <c r="E22" i="1"/>
  <c r="N22" i="5" s="1"/>
  <c r="X22" i="5" s="1"/>
  <c r="E23" i="1"/>
  <c r="N23" i="5" s="1"/>
  <c r="X23" i="5" s="1"/>
  <c r="E24" i="1"/>
  <c r="N24" i="5" s="1"/>
  <c r="X24" i="5" s="1"/>
  <c r="E25" i="1"/>
  <c r="N25" i="5" s="1"/>
  <c r="X25" i="5" s="1"/>
  <c r="E26" i="1"/>
  <c r="N26" i="5" s="1"/>
  <c r="X26" i="5" s="1"/>
  <c r="E27" i="1"/>
  <c r="N27" i="5" s="1"/>
  <c r="X27" i="5" s="1"/>
  <c r="E28" i="1"/>
  <c r="N28" i="5" s="1"/>
  <c r="X28" i="5" s="1"/>
  <c r="E29" i="1"/>
  <c r="E30" i="1"/>
  <c r="N30" i="5" s="1"/>
  <c r="X30" i="5" s="1"/>
  <c r="E31" i="1"/>
  <c r="N31" i="5" s="1"/>
  <c r="X31" i="5" s="1"/>
  <c r="E32" i="1"/>
  <c r="N32" i="5" s="1"/>
  <c r="X32" i="5" s="1"/>
  <c r="E33" i="1"/>
  <c r="N33" i="5" s="1"/>
  <c r="X33" i="5" s="1"/>
  <c r="E34" i="1"/>
  <c r="N34" i="5" s="1"/>
  <c r="X34" i="5" s="1"/>
  <c r="E35" i="1"/>
  <c r="N35" i="5" s="1"/>
  <c r="X35" i="5" s="1"/>
  <c r="E36" i="1"/>
  <c r="N36" i="5" s="1"/>
  <c r="X36" i="5" s="1"/>
  <c r="E38" i="1"/>
  <c r="N38" i="5" s="1"/>
  <c r="X38" i="5" s="1"/>
  <c r="E40" i="1"/>
  <c r="N40" i="5" s="1"/>
  <c r="X40" i="5" s="1"/>
  <c r="E41" i="1"/>
  <c r="N41" i="5" s="1"/>
  <c r="X41" i="5" s="1"/>
  <c r="E42" i="1"/>
  <c r="N42" i="5" s="1"/>
  <c r="X42" i="5" s="1"/>
  <c r="E43" i="1"/>
  <c r="N43" i="5" s="1"/>
  <c r="X43" i="5" s="1"/>
  <c r="E44" i="1"/>
  <c r="N44" i="5" s="1"/>
  <c r="X44" i="5" s="1"/>
  <c r="E100" i="1"/>
  <c r="H15" i="7" s="1"/>
  <c r="R15" i="7" s="1"/>
  <c r="E101" i="1"/>
  <c r="H16" i="7" s="1"/>
  <c r="R16" i="7" s="1"/>
  <c r="E102" i="1"/>
  <c r="H17" i="7" s="1"/>
  <c r="R17" i="7" s="1"/>
  <c r="R22" i="7" l="1"/>
  <c r="H22" i="7"/>
  <c r="U13" i="7"/>
  <c r="D15" i="18" s="1"/>
  <c r="N29" i="5"/>
  <c r="X29" i="5" s="1"/>
  <c r="AN50" i="5"/>
  <c r="AN73" i="5"/>
  <c r="AN84" i="5"/>
  <c r="AN76" i="5"/>
  <c r="AN77" i="5"/>
  <c r="AN71" i="5"/>
  <c r="AN59" i="5"/>
  <c r="AN47" i="5"/>
  <c r="AN66" i="5"/>
  <c r="AN63" i="5"/>
  <c r="AN69" i="5"/>
  <c r="AN56" i="5"/>
  <c r="AN78" i="5"/>
  <c r="AN72" i="5"/>
  <c r="AN75" i="5"/>
  <c r="AN85" i="5"/>
  <c r="AN92" i="5"/>
  <c r="AN74" i="5"/>
  <c r="AN46" i="5"/>
  <c r="AN91" i="5"/>
  <c r="L15" i="7"/>
  <c r="K14" i="7"/>
  <c r="AN58" i="5"/>
  <c r="AN49" i="5"/>
  <c r="K15" i="7"/>
  <c r="K22" i="7" s="1"/>
  <c r="I14" i="7"/>
  <c r="W24" i="5"/>
  <c r="AF24" i="5"/>
  <c r="AB24" i="5"/>
  <c r="AE24" i="5"/>
  <c r="AA24" i="5"/>
  <c r="AD24" i="5"/>
  <c r="AC24" i="5"/>
  <c r="I15" i="7"/>
  <c r="AD15" i="7" s="1"/>
  <c r="H101" i="1"/>
  <c r="J16" i="7" s="1"/>
  <c r="S16" i="7" s="1"/>
  <c r="AN51" i="5"/>
  <c r="H100" i="1"/>
  <c r="AN61" i="5"/>
  <c r="AN52" i="5"/>
  <c r="O14" i="7"/>
  <c r="U14" i="7" s="1"/>
  <c r="D16" i="18" s="1"/>
  <c r="F16" i="18" s="1"/>
  <c r="L16" i="18" s="1"/>
  <c r="M16" i="18" s="1"/>
  <c r="W25" i="5"/>
  <c r="AC25" i="5"/>
  <c r="AF25" i="5"/>
  <c r="AB25" i="5"/>
  <c r="AE25" i="5"/>
  <c r="AA25" i="5"/>
  <c r="AD25" i="5"/>
  <c r="AN67" i="5"/>
  <c r="AN62" i="5"/>
  <c r="AN53" i="5"/>
  <c r="O15" i="7"/>
  <c r="N14" i="7"/>
  <c r="H96" i="1"/>
  <c r="Q95" i="5" s="1"/>
  <c r="Z95" i="5" s="1"/>
  <c r="N95" i="5"/>
  <c r="X95" i="5" s="1"/>
  <c r="AN64" i="5"/>
  <c r="AN54" i="5"/>
  <c r="N15" i="7"/>
  <c r="P90" i="5"/>
  <c r="AI90" i="5" s="1"/>
  <c r="AM90" i="5" s="1"/>
  <c r="M14" i="7"/>
  <c r="AN65" i="5"/>
  <c r="AN68" i="5"/>
  <c r="M15" i="7"/>
  <c r="M22" i="7" s="1"/>
  <c r="O90" i="5"/>
  <c r="Y90" i="5" s="1"/>
  <c r="AG90" i="5" s="1"/>
  <c r="L14" i="7"/>
  <c r="H102" i="1"/>
  <c r="J17" i="7" s="1"/>
  <c r="S17" i="7" s="1"/>
  <c r="AN60" i="5"/>
  <c r="AN70" i="5"/>
  <c r="AN57" i="5"/>
  <c r="AN48" i="5"/>
  <c r="AG9" i="5"/>
  <c r="AN9" i="5" s="1"/>
  <c r="H42" i="1"/>
  <c r="Q42" i="5" s="1"/>
  <c r="Z42" i="5" s="1"/>
  <c r="AG42" i="5" s="1"/>
  <c r="AN42" i="5" s="1"/>
  <c r="H41" i="1"/>
  <c r="Q41" i="5" s="1"/>
  <c r="Z41" i="5" s="1"/>
  <c r="AG41" i="5" s="1"/>
  <c r="AN41" i="5" s="1"/>
  <c r="H27" i="1"/>
  <c r="Q27" i="5" s="1"/>
  <c r="Z27" i="5" s="1"/>
  <c r="AG27" i="5" s="1"/>
  <c r="AN27" i="5" s="1"/>
  <c r="H15" i="1"/>
  <c r="Q15" i="5" s="1"/>
  <c r="Z15" i="5" s="1"/>
  <c r="AG15" i="5" s="1"/>
  <c r="AN15" i="5" s="1"/>
  <c r="H40" i="1"/>
  <c r="Q40" i="5" s="1"/>
  <c r="Z40" i="5" s="1"/>
  <c r="AG40" i="5" s="1"/>
  <c r="AN40" i="5" s="1"/>
  <c r="H26" i="1"/>
  <c r="Q26" i="5" s="1"/>
  <c r="Z26" i="5" s="1"/>
  <c r="AG26" i="5" s="1"/>
  <c r="AN26" i="5" s="1"/>
  <c r="H14" i="1"/>
  <c r="Q14" i="5" s="1"/>
  <c r="Z14" i="5" s="1"/>
  <c r="AG14" i="5" s="1"/>
  <c r="AN14" i="5" s="1"/>
  <c r="H36" i="1"/>
  <c r="Q36" i="5" s="1"/>
  <c r="Z36" i="5" s="1"/>
  <c r="AG36" i="5" s="1"/>
  <c r="AN36" i="5" s="1"/>
  <c r="H24" i="1"/>
  <c r="Q24" i="5" s="1"/>
  <c r="Z24" i="5" s="1"/>
  <c r="H12" i="1"/>
  <c r="Q12" i="5" s="1"/>
  <c r="Z12" i="5" s="1"/>
  <c r="H35" i="1"/>
  <c r="Q35" i="5" s="1"/>
  <c r="Z35" i="5" s="1"/>
  <c r="AG35" i="5" s="1"/>
  <c r="AN35" i="5" s="1"/>
  <c r="H22" i="1"/>
  <c r="Q22" i="5" s="1"/>
  <c r="Z22" i="5" s="1"/>
  <c r="AG22" i="5" s="1"/>
  <c r="AN22" i="5" s="1"/>
  <c r="H10" i="1"/>
  <c r="Q10" i="5" s="1"/>
  <c r="Z10" i="5" s="1"/>
  <c r="AG10" i="5" s="1"/>
  <c r="AN10" i="5" s="1"/>
  <c r="H13" i="1"/>
  <c r="Q13" i="5" s="1"/>
  <c r="Z13" i="5" s="1"/>
  <c r="AG13" i="5" s="1"/>
  <c r="AN13" i="5" s="1"/>
  <c r="H34" i="1"/>
  <c r="Q34" i="5" s="1"/>
  <c r="Z34" i="5" s="1"/>
  <c r="AG34" i="5" s="1"/>
  <c r="AN34" i="5" s="1"/>
  <c r="H33" i="1"/>
  <c r="Q33" i="5" s="1"/>
  <c r="Z33" i="5" s="1"/>
  <c r="AG33" i="5" s="1"/>
  <c r="AN33" i="5" s="1"/>
  <c r="H21" i="1"/>
  <c r="Q21" i="5" s="1"/>
  <c r="Z21" i="5" s="1"/>
  <c r="AG21" i="5" s="1"/>
  <c r="AN21" i="5" s="1"/>
  <c r="H28" i="1"/>
  <c r="Q28" i="5" s="1"/>
  <c r="Z28" i="5" s="1"/>
  <c r="AG28" i="5" s="1"/>
  <c r="AN28" i="5" s="1"/>
  <c r="H23" i="1"/>
  <c r="Q23" i="5" s="1"/>
  <c r="Z23" i="5" s="1"/>
  <c r="AG23" i="5" s="1"/>
  <c r="AN23" i="5" s="1"/>
  <c r="H32" i="1"/>
  <c r="Q32" i="5" s="1"/>
  <c r="Z32" i="5" s="1"/>
  <c r="AG32" i="5" s="1"/>
  <c r="AN32" i="5" s="1"/>
  <c r="H20" i="1"/>
  <c r="Q20" i="5" s="1"/>
  <c r="Z20" i="5" s="1"/>
  <c r="AG20" i="5" s="1"/>
  <c r="AN20" i="5" s="1"/>
  <c r="H16" i="1"/>
  <c r="Q16" i="5" s="1"/>
  <c r="Z16" i="5" s="1"/>
  <c r="AG16" i="5" s="1"/>
  <c r="AN16" i="5" s="1"/>
  <c r="H11" i="1"/>
  <c r="Q11" i="5" s="1"/>
  <c r="Z11" i="5" s="1"/>
  <c r="AG11" i="5" s="1"/>
  <c r="AN11" i="5" s="1"/>
  <c r="H31" i="1"/>
  <c r="Q31" i="5" s="1"/>
  <c r="Z31" i="5" s="1"/>
  <c r="AG31" i="5" s="1"/>
  <c r="AN31" i="5" s="1"/>
  <c r="H19" i="1"/>
  <c r="Q19" i="5" s="1"/>
  <c r="Z19" i="5" s="1"/>
  <c r="AG19" i="5" s="1"/>
  <c r="AN19" i="5" s="1"/>
  <c r="H38" i="1"/>
  <c r="Q38" i="5" s="1"/>
  <c r="Z38" i="5" s="1"/>
  <c r="AG38" i="5" s="1"/>
  <c r="AN38" i="5" s="1"/>
  <c r="H44" i="1"/>
  <c r="Q44" i="5" s="1"/>
  <c r="Z44" i="5" s="1"/>
  <c r="AG44" i="5" s="1"/>
  <c r="AN44" i="5" s="1"/>
  <c r="H30" i="1"/>
  <c r="Q30" i="5" s="1"/>
  <c r="Z30" i="5" s="1"/>
  <c r="AG30" i="5" s="1"/>
  <c r="AN30" i="5" s="1"/>
  <c r="H18" i="1"/>
  <c r="Q18" i="5" s="1"/>
  <c r="Z18" i="5" s="1"/>
  <c r="AG18" i="5" s="1"/>
  <c r="AN18" i="5" s="1"/>
  <c r="H25" i="1"/>
  <c r="Q25" i="5" s="1"/>
  <c r="Z25" i="5" s="1"/>
  <c r="H43" i="1"/>
  <c r="Q43" i="5" s="1"/>
  <c r="Z43" i="5" s="1"/>
  <c r="AG43" i="5" s="1"/>
  <c r="AN43" i="5" s="1"/>
  <c r="H29" i="1"/>
  <c r="Q29" i="5" s="1"/>
  <c r="Z29" i="5" s="1"/>
  <c r="H17" i="1"/>
  <c r="Q17" i="5" s="1"/>
  <c r="Z17" i="5" s="1"/>
  <c r="AG17" i="5" s="1"/>
  <c r="AN17" i="5" s="1"/>
  <c r="G95" i="1"/>
  <c r="P94" i="5" s="1"/>
  <c r="AI94" i="5" s="1"/>
  <c r="AM94" i="5" s="1"/>
  <c r="F95" i="1"/>
  <c r="O94" i="5" s="1"/>
  <c r="Y94" i="5" s="1"/>
  <c r="E95" i="1"/>
  <c r="F15" i="18" l="1"/>
  <c r="N22" i="7"/>
  <c r="U16" i="7"/>
  <c r="E18" i="18"/>
  <c r="U17" i="7"/>
  <c r="E19" i="18"/>
  <c r="L22" i="7"/>
  <c r="AG12" i="5"/>
  <c r="AN12" i="5" s="1"/>
  <c r="AD14" i="7"/>
  <c r="AD22" i="7" s="1"/>
  <c r="I22" i="7"/>
  <c r="AB13" i="7"/>
  <c r="AC13" i="7" s="1"/>
  <c r="AB14" i="7"/>
  <c r="O22" i="7"/>
  <c r="AG29" i="5"/>
  <c r="AN29" i="5" s="1"/>
  <c r="AN90" i="5"/>
  <c r="J15" i="7"/>
  <c r="J22" i="7" s="1"/>
  <c r="H95" i="1"/>
  <c r="Q94" i="5" s="1"/>
  <c r="Z94" i="5" s="1"/>
  <c r="N94" i="5"/>
  <c r="X94" i="5" s="1"/>
  <c r="AG24" i="5"/>
  <c r="AN24" i="5" s="1"/>
  <c r="AG95" i="5"/>
  <c r="AN95" i="5" s="1"/>
  <c r="AG25" i="5"/>
  <c r="AN25" i="5" s="1"/>
  <c r="K95" i="1"/>
  <c r="T94" i="5" s="1"/>
  <c r="L95" i="1"/>
  <c r="U94" i="5" s="1"/>
  <c r="M95" i="1"/>
  <c r="V94" i="5" s="1"/>
  <c r="J95" i="1"/>
  <c r="S94" i="5" s="1"/>
  <c r="I95" i="1"/>
  <c r="R94" i="5" s="1"/>
  <c r="AC14" i="7" l="1"/>
  <c r="AG14" i="7" s="1"/>
  <c r="AH14" i="7" s="1"/>
  <c r="AB17" i="7"/>
  <c r="AC17" i="7" s="1"/>
  <c r="AG17" i="7" s="1"/>
  <c r="AH17" i="7" s="1"/>
  <c r="D19" i="18"/>
  <c r="F19" i="18" s="1"/>
  <c r="L19" i="18" s="1"/>
  <c r="M19" i="18" s="1"/>
  <c r="AB16" i="7"/>
  <c r="AC16" i="7" s="1"/>
  <c r="D18" i="18"/>
  <c r="F18" i="18" s="1"/>
  <c r="L18" i="18" s="1"/>
  <c r="M18" i="18" s="1"/>
  <c r="L15" i="18"/>
  <c r="AG13" i="7"/>
  <c r="AH13" i="7" s="1"/>
  <c r="AG16" i="7"/>
  <c r="AH16" i="7" s="1"/>
  <c r="S15" i="7"/>
  <c r="AG94" i="5"/>
  <c r="AN94" i="5" s="1"/>
  <c r="AN3" i="5" s="1"/>
  <c r="V15" i="15" s="1"/>
  <c r="S22" i="7" l="1"/>
  <c r="E17" i="18"/>
  <c r="E14" i="18" s="1"/>
  <c r="E114" i="18" s="1"/>
  <c r="M15" i="18"/>
  <c r="U15" i="7"/>
  <c r="D17" i="18" s="1"/>
  <c r="O14" i="12"/>
  <c r="F17" i="18" l="1"/>
  <c r="D14" i="18"/>
  <c r="D114" i="18" s="1"/>
  <c r="AB15" i="7"/>
  <c r="U22" i="7"/>
  <c r="AB22" i="7" l="1"/>
  <c r="AC15" i="7"/>
  <c r="L17" i="18"/>
  <c r="F14" i="18"/>
  <c r="F114" i="18" s="1"/>
  <c r="AC22" i="7"/>
  <c r="AG15" i="7"/>
  <c r="M17" i="18" l="1"/>
  <c r="M14" i="18" s="1"/>
  <c r="M114" i="18" s="1"/>
  <c r="L14" i="18"/>
  <c r="L114" i="18" s="1"/>
  <c r="AH15" i="7"/>
  <c r="AH22" i="7" s="1"/>
  <c r="V16" i="15" s="1"/>
  <c r="AG22" i="7"/>
  <c r="O15" i="12"/>
  <c r="O16" i="12" s="1"/>
  <c r="V17" i="15"/>
  <c r="M18" i="19" l="1"/>
  <c r="M20" i="19" s="1"/>
  <c r="M21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Admin</author>
  </authors>
  <commentList>
    <comment ref="E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Windows User:5/3 VỀ SỚM HƠN 30'
18/3 SỚM HƠN 1 TIẾNG</t>
        </r>
      </text>
    </comment>
    <comment ref="AB2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VỀ SỚM 15H</t>
        </r>
      </text>
    </comment>
    <comment ref="R2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</t>
        </r>
      </text>
    </comment>
    <comment ref="AW3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ra ngoài 2.5h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 Hoang</author>
  </authors>
  <commentList>
    <comment ref="AO2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63"/>
          </rPr>
          <t>Anh Hoang:</t>
        </r>
        <r>
          <rPr>
            <sz val="9"/>
            <color indexed="81"/>
            <rFont val="Tahoma"/>
            <family val="2"/>
            <charset val="163"/>
          </rPr>
          <t xml:space="preserve">
Thực chi ĐỊnh Thị Lệ Hoa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N16" authorId="0" shapeId="0" xr:uid="{DA3F3920-3C3A-497C-B3E9-FDA160A6509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tháng trước làm 4 ngày</t>
        </r>
      </text>
    </comment>
    <comment ref="N18" authorId="0" shapeId="0" xr:uid="{CAC6C7A0-5099-4538-B342-E89BF330D44D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tháng 2 làm 9 ngày</t>
        </r>
      </text>
    </comment>
    <comment ref="N42" authorId="0" shapeId="0" xr:uid="{A22EFC5F-1D91-4087-9002-EA12995C6A46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tháng trước 9 ngày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 Hoang</author>
  </authors>
  <commentList>
    <comment ref="AV29" authorId="0" shapeId="0" xr:uid="{68EC61D0-D6EA-4DF7-93A4-39D33FA3254C}">
      <text>
        <r>
          <rPr>
            <b/>
            <sz val="9"/>
            <color indexed="81"/>
            <rFont val="Tahoma"/>
            <family val="2"/>
            <charset val="163"/>
          </rPr>
          <t>Anh Hoang:</t>
        </r>
        <r>
          <rPr>
            <sz val="9"/>
            <color indexed="81"/>
            <rFont val="Tahoma"/>
            <family val="2"/>
            <charset val="163"/>
          </rPr>
          <t xml:space="preserve">
Thực chi ĐỊnh Thị Lệ Hoa</t>
        </r>
      </text>
    </comment>
  </commentList>
</comments>
</file>

<file path=xl/sharedStrings.xml><?xml version="1.0" encoding="utf-8"?>
<sst xmlns="http://schemas.openxmlformats.org/spreadsheetml/2006/main" count="4373" uniqueCount="691">
  <si>
    <t>N</t>
  </si>
  <si>
    <t>Ca ngày</t>
  </si>
  <si>
    <t>Nghỉ hưởng lương</t>
  </si>
  <si>
    <t>Nghỉ phép</t>
  </si>
  <si>
    <t>Tháng 03</t>
  </si>
  <si>
    <t>TC 1,5</t>
  </si>
  <si>
    <t>TC trước 10h</t>
  </si>
  <si>
    <t>Nghỉ lễ</t>
  </si>
  <si>
    <t>Nghỉ không phép</t>
  </si>
  <si>
    <t>Ngày công quy định trong tháng: 26</t>
  </si>
  <si>
    <t>TC 1,8</t>
  </si>
  <si>
    <t>TC sau 10h</t>
  </si>
  <si>
    <t>Chủ nhật</t>
  </si>
  <si>
    <t>P</t>
  </si>
  <si>
    <t>Nghỉ có phép</t>
  </si>
  <si>
    <t>STT</t>
  </si>
  <si>
    <t>MNV</t>
  </si>
  <si>
    <t>Họ tên</t>
  </si>
  <si>
    <t>Ngày thường</t>
  </si>
  <si>
    <t>Nghỉ</t>
  </si>
  <si>
    <t>Lễ</t>
  </si>
  <si>
    <t>Phép</t>
  </si>
  <si>
    <t>Nguyên lương</t>
  </si>
  <si>
    <t>Không phép</t>
  </si>
  <si>
    <t>Thứ 6</t>
  </si>
  <si>
    <t>Thứ 7</t>
  </si>
  <si>
    <t>Thứ 2</t>
  </si>
  <si>
    <t>Thứ 3</t>
  </si>
  <si>
    <t>Thứ 4</t>
  </si>
  <si>
    <t>Thứ 5</t>
  </si>
  <si>
    <t>TV 001</t>
  </si>
  <si>
    <t>NGUYỄN THỊ NGỌC BÍCH</t>
  </si>
  <si>
    <t>TV 002</t>
  </si>
  <si>
    <t>NGUYỄN THỊ NGA</t>
  </si>
  <si>
    <t>DG001</t>
  </si>
  <si>
    <t xml:space="preserve">BÙI NGỌC THỊNH </t>
  </si>
  <si>
    <t>DG002</t>
  </si>
  <si>
    <t>THÁI THỊ NGỌC HÀ</t>
  </si>
  <si>
    <t>DG003</t>
  </si>
  <si>
    <t>THÁI NGỌC HOÀNG CHÂU</t>
  </si>
  <si>
    <t>DG004</t>
  </si>
  <si>
    <t>HUỲNH YẾN PHA</t>
  </si>
  <si>
    <t>DG005</t>
  </si>
  <si>
    <t>NGUYỄN THANH PHÚ</t>
  </si>
  <si>
    <t>DG006</t>
  </si>
  <si>
    <t>HÀ DƯƠNG KHANG</t>
  </si>
  <si>
    <t>DG007</t>
  </si>
  <si>
    <t xml:space="preserve">VÕ THÚY DIỄM </t>
  </si>
  <si>
    <t>DG008</t>
  </si>
  <si>
    <t>VĂNG  THỊ CẨM HƯƠNG</t>
  </si>
  <si>
    <t>DG009</t>
  </si>
  <si>
    <t>HUỲNH VĂN TRỌNG</t>
  </si>
  <si>
    <t>DG010</t>
  </si>
  <si>
    <t>HUỲNH THỊ HẢI YẾN</t>
  </si>
  <si>
    <t>DG011</t>
  </si>
  <si>
    <t>NGUYỄN THÚY NGÀ</t>
  </si>
  <si>
    <t>DG012</t>
  </si>
  <si>
    <t>NGUYỄN THỊ LANH</t>
  </si>
  <si>
    <t>DG013</t>
  </si>
  <si>
    <t>NGUYỄN THÁI ANH</t>
  </si>
  <si>
    <t>DG014</t>
  </si>
  <si>
    <t>HUỲNH NGỌC TRÂM</t>
  </si>
  <si>
    <t>DG015</t>
  </si>
  <si>
    <t>PHAN THỊ HỒNG YẾN</t>
  </si>
  <si>
    <t>DG016</t>
  </si>
  <si>
    <t>NGUYỄN HUỲNH PHƯƠNG THÚY</t>
  </si>
  <si>
    <t>DG017</t>
  </si>
  <si>
    <t>NGUYỄN THỊ HUỲNH NHƯ</t>
  </si>
  <si>
    <t>DG018</t>
  </si>
  <si>
    <t>HUỲNH THỊ KIỀU MY</t>
  </si>
  <si>
    <t>DG019</t>
  </si>
  <si>
    <t>LÊ NGỌC SÁNG</t>
  </si>
  <si>
    <t>DG020</t>
  </si>
  <si>
    <t>DƯƠNG LONG PHỤNG</t>
  </si>
  <si>
    <t>DG021</t>
  </si>
  <si>
    <t>ĐINH THỊ LỆ HOA</t>
  </si>
  <si>
    <t>DG024</t>
  </si>
  <si>
    <t>NGUYỄN THỊ ẢNH</t>
  </si>
  <si>
    <t>DG025</t>
  </si>
  <si>
    <t>HÀ CẨM THÚY</t>
  </si>
  <si>
    <t>DG026</t>
  </si>
  <si>
    <t>HÀ THỊ MỸ TIÊN</t>
  </si>
  <si>
    <t>DG027</t>
  </si>
  <si>
    <t>LÊ HUỲNH QUANG VINH</t>
  </si>
  <si>
    <t>DG028</t>
  </si>
  <si>
    <t>LÊ HUYỀN TRÂM</t>
  </si>
  <si>
    <t>DG029</t>
  </si>
  <si>
    <t>LÝ MINH TRUYỀN</t>
  </si>
  <si>
    <t>DG030</t>
  </si>
  <si>
    <t>NGUYỄN VĂN PHÁT</t>
  </si>
  <si>
    <t>GN001</t>
  </si>
  <si>
    <t>LÒ VĂN BÍCH</t>
  </si>
  <si>
    <t>GN002</t>
  </si>
  <si>
    <t>NGUYỄN VĂN NHỰT</t>
  </si>
  <si>
    <t>GN003</t>
  </si>
  <si>
    <t>CAO TRỌNG QUÝ</t>
  </si>
  <si>
    <t>GN004</t>
  </si>
  <si>
    <t>NGUYỄN VĂN TUẤN</t>
  </si>
  <si>
    <t>GN005</t>
  </si>
  <si>
    <t>NGUYỄN PHƯỚC ĐẠT</t>
  </si>
  <si>
    <t>KH001</t>
  </si>
  <si>
    <t>LÊ MINH HIỀN</t>
  </si>
  <si>
    <t>KHO01</t>
  </si>
  <si>
    <t>NGUYỄN THANH TUẤN</t>
  </si>
  <si>
    <t>QC001</t>
  </si>
  <si>
    <t xml:space="preserve">NGUYỄN HỮU TRỌNG </t>
  </si>
  <si>
    <t>SC002</t>
  </si>
  <si>
    <t>HOÀNG THỊ ĐĂM</t>
  </si>
  <si>
    <t>SC003</t>
  </si>
  <si>
    <t>NGUYỄN THỊ KIM CHÂU</t>
  </si>
  <si>
    <t>SC004</t>
  </si>
  <si>
    <t>LÊ THANH NGUYỆT</t>
  </si>
  <si>
    <t>SC005</t>
  </si>
  <si>
    <t>NGUYỄN VĂN HOÀI</t>
  </si>
  <si>
    <t>SC006</t>
  </si>
  <si>
    <t>NGUYỄN VĂN NHƠN</t>
  </si>
  <si>
    <t>SC007</t>
  </si>
  <si>
    <t>LÂM KIM HIỀN</t>
  </si>
  <si>
    <t>SC008</t>
  </si>
  <si>
    <t>PHẠM MINH XEM</t>
  </si>
  <si>
    <t>SC009</t>
  </si>
  <si>
    <t>NGUYÊN TUẤN KIỆT</t>
  </si>
  <si>
    <t>SC010</t>
  </si>
  <si>
    <t>TRƯƠNG THỊ THU THỦY</t>
  </si>
  <si>
    <t>SC011</t>
  </si>
  <si>
    <t>NGUYỄN VIỆT SƠN</t>
  </si>
  <si>
    <t>SC012</t>
  </si>
  <si>
    <t>VĂNG VĂN Ý</t>
  </si>
  <si>
    <t>SC014</t>
  </si>
  <si>
    <t>THẠCH THỊ XUÂN TRANG</t>
  </si>
  <si>
    <t>SC015</t>
  </si>
  <si>
    <t>HÀ THỊ NGỌC</t>
  </si>
  <si>
    <t>SC016</t>
  </si>
  <si>
    <t>TRẦN VĂN VÀNG</t>
  </si>
  <si>
    <t>SC017</t>
  </si>
  <si>
    <t>LÊ TRƯỜNG AN</t>
  </si>
  <si>
    <t>SC025</t>
  </si>
  <si>
    <t>NGUYỄN THỊ BÍCH THU</t>
  </si>
  <si>
    <t>SC026</t>
  </si>
  <si>
    <t xml:space="preserve">THÁI HUY HOÀNG </t>
  </si>
  <si>
    <t>SC027</t>
  </si>
  <si>
    <t>NGUYỄN THANH ÂN</t>
  </si>
  <si>
    <t>SC028</t>
  </si>
  <si>
    <t>NGUYỄN PHÚC HẬU</t>
  </si>
  <si>
    <t>SC029</t>
  </si>
  <si>
    <t>ĐẶNG VĂN TRẮNG</t>
  </si>
  <si>
    <t>SC030</t>
  </si>
  <si>
    <t>CHUNG HOÀNG PHÚC</t>
  </si>
  <si>
    <t>SC031</t>
  </si>
  <si>
    <t>PHẠM VĂN CHEN</t>
  </si>
  <si>
    <t>SC032</t>
  </si>
  <si>
    <t>NGUYỄN THỊ NƯƠNG</t>
  </si>
  <si>
    <t>SC033</t>
  </si>
  <si>
    <t>HOÀNG VĂN THUẬN</t>
  </si>
  <si>
    <t>SC034</t>
  </si>
  <si>
    <t>LÒ VĂN QUÝ</t>
  </si>
  <si>
    <t>SC035</t>
  </si>
  <si>
    <t>LÒ THỊ SINH</t>
  </si>
  <si>
    <t>SC036</t>
  </si>
  <si>
    <t>HOÀNG VĂN NGUYÊN</t>
  </si>
  <si>
    <t>SC038</t>
  </si>
  <si>
    <t>MAI VĂN HÙNG</t>
  </si>
  <si>
    <t>SC039</t>
  </si>
  <si>
    <t>NGUYỄN MINH LUÂN</t>
  </si>
  <si>
    <t>SC040</t>
  </si>
  <si>
    <t>HUỲNH PHI LONG</t>
  </si>
  <si>
    <t>SC041</t>
  </si>
  <si>
    <t xml:space="preserve">TRẦN HOÀI NGỌC </t>
  </si>
  <si>
    <t>TT002</t>
  </si>
  <si>
    <t>NGUYỄN TRẦN TRUNG THÀNH</t>
  </si>
  <si>
    <t>TT003</t>
  </si>
  <si>
    <t>PHAN THỊ KIM KHUYÊN</t>
  </si>
  <si>
    <t>Mã nhân viên</t>
  </si>
  <si>
    <t>Thông tin cá nhân</t>
  </si>
  <si>
    <t>Thông tin hợp đồng lao đồng</t>
  </si>
  <si>
    <t>Ngày sinh</t>
  </si>
  <si>
    <t>MST Cá nhân</t>
  </si>
  <si>
    <t>Số CMND</t>
  </si>
  <si>
    <t>Ngày cấp</t>
  </si>
  <si>
    <t>Nơi cấp</t>
  </si>
  <si>
    <t>Nơi đăng ký hộ khẩu</t>
  </si>
  <si>
    <t>Nơi ở hiện nay</t>
  </si>
  <si>
    <t>Số TK</t>
  </si>
  <si>
    <t>Ngân hàng</t>
  </si>
  <si>
    <t>Chi nhánh</t>
  </si>
  <si>
    <t>Số HĐ</t>
  </si>
  <si>
    <t>Loại HĐ</t>
  </si>
  <si>
    <t>Ngày ký</t>
  </si>
  <si>
    <t>Ngày làm việc</t>
  </si>
  <si>
    <t>Bộ phận</t>
  </si>
  <si>
    <t>Chức vụ</t>
  </si>
  <si>
    <t>Tình trạng</t>
  </si>
  <si>
    <t>Ngày nghỉ việc</t>
  </si>
  <si>
    <t>Lương cơ bản</t>
  </si>
  <si>
    <t>Xăng xe</t>
  </si>
  <si>
    <t>Nhà ở</t>
  </si>
  <si>
    <t>Xếp loại</t>
  </si>
  <si>
    <t>Chuyên cần</t>
  </si>
  <si>
    <t>Trách nhiệm</t>
  </si>
  <si>
    <t>080 167003725</t>
  </si>
  <si>
    <t>Cục cảnh sát</t>
  </si>
  <si>
    <t>Bình Chánh, TP.HCM</t>
  </si>
  <si>
    <t>Bình Hữu 1, Đức Hòa Thượng, Đức Hòa, Long An</t>
  </si>
  <si>
    <t>012</t>
  </si>
  <si>
    <t>1 năm</t>
  </si>
  <si>
    <t>Sản xuất</t>
  </si>
  <si>
    <t>NV Sản xuất</t>
  </si>
  <si>
    <t>Chính thức</t>
  </si>
  <si>
    <t/>
  </si>
  <si>
    <t>079 161031746</t>
  </si>
  <si>
    <t>Phường 1, TP.Cà Mau , Cà Mau</t>
  </si>
  <si>
    <t>F9/22L Tổ 9, Ấp 6, Lê Minh Xuân, Bình Chánh, TP.HCM</t>
  </si>
  <si>
    <t>TV012</t>
  </si>
  <si>
    <t>Thử việc</t>
  </si>
  <si>
    <t>064 096 005 197</t>
  </si>
  <si>
    <t>Tổ dân phố 3, Thị Trấn Kon Dơng, Mang yang, Gia Lai</t>
  </si>
  <si>
    <t>N2 Hòa Khánh Đông, Đức Hòa, Long An</t>
  </si>
  <si>
    <t>Thôi việc</t>
  </si>
  <si>
    <t>079 191 037 316</t>
  </si>
  <si>
    <t>Phú Thạnh, Tân Phú, Hồ Chí Minh</t>
  </si>
  <si>
    <t>Ấp Bình Lợi, Hòa Khánh Đông, Đức Hòa, Long An</t>
  </si>
  <si>
    <t>079 3000 42997</t>
  </si>
  <si>
    <t>095 197 006 150</t>
  </si>
  <si>
    <t xml:space="preserve">Ấp Vĩnh Điền, Long Điền Đông, Đông Hải, Bạc Liêu </t>
  </si>
  <si>
    <t>Ấp Bình Tiền 2, Đức Hòa, Long An</t>
  </si>
  <si>
    <t>009</t>
  </si>
  <si>
    <t>Ấp Tây Mỹ, Xã Mỹ Hội, Huyện Cao Lãnh, Đồng Tháp</t>
  </si>
  <si>
    <t>216 Ấp Tây Mỹ, Xã Mỹ Hội, Huyện Cao Lãnh, Đồng Tháp</t>
  </si>
  <si>
    <t>TV017</t>
  </si>
  <si>
    <t>084 093003746</t>
  </si>
  <si>
    <t>Hiệp Thạnh, Thị Xã Duyên Hải, Trà Vinh</t>
  </si>
  <si>
    <t>Ấp Bào, Thị Xã Duyên Hải, Trà Vinh</t>
  </si>
  <si>
    <t>TV046</t>
  </si>
  <si>
    <t>084 180003968</t>
  </si>
  <si>
    <t>An Quảng Hữu, Trà Cú, Trà Vinh</t>
  </si>
  <si>
    <t>Ấp Ngã Ba, An Quảng Hữu, Trà Cú, Trà Vinh</t>
  </si>
  <si>
    <t>TV047</t>
  </si>
  <si>
    <t>089 192004922</t>
  </si>
  <si>
    <t>Vĩnh Xương, Thị Xã Tân Châu, An Giang</t>
  </si>
  <si>
    <t>Ấp Bình Tiền 1, Đức Hòa Hạ, Đức Hòa, Long An</t>
  </si>
  <si>
    <t>TV009</t>
  </si>
  <si>
    <t>0912 04011028</t>
  </si>
  <si>
    <t>Thạnh Đông, Tân Hiệp, Kiên Giang</t>
  </si>
  <si>
    <t>Ấp Đông Lộc, Thạnh Đông, Tân Hiệp, Kiên Giang</t>
  </si>
  <si>
    <t>TV011</t>
  </si>
  <si>
    <t>091 1096004831</t>
  </si>
  <si>
    <t>TV015</t>
  </si>
  <si>
    <t>0911 89009355</t>
  </si>
  <si>
    <t>Thị Trấn Tân Hiệp, Tân Hiệp, Kiên Giang</t>
  </si>
  <si>
    <t>Tổ 5 Ấp Kinh 9 Thị Trấn Tân Hiệp, Tân Hiệp, Kiên Giang</t>
  </si>
  <si>
    <t>TV010</t>
  </si>
  <si>
    <t>019 183019932</t>
  </si>
  <si>
    <t>Cujc cảnh sát</t>
  </si>
  <si>
    <t>Dương Thành, Phú Bình, Thái Nguyên</t>
  </si>
  <si>
    <t>Xóm Tân Lập, Quân Chu, Đại Từ, Thái Nguyên</t>
  </si>
  <si>
    <t>TV026</t>
  </si>
  <si>
    <t>083 202001803</t>
  </si>
  <si>
    <t>Vĩnh Bình, Chợ Lách, Bến Tre</t>
  </si>
  <si>
    <t>Ấp Phú Thạnh 2, Đồng Phú, Long Hồ, Vĩnh Long</t>
  </si>
  <si>
    <t>TV020</t>
  </si>
  <si>
    <t>0933 02003362</t>
  </si>
  <si>
    <t>Vĩnh Thuận Đông, Long Mỹ, Hậu Giang</t>
  </si>
  <si>
    <t>TV004</t>
  </si>
  <si>
    <t>080 302013426</t>
  </si>
  <si>
    <t>Xã Mỹ Hạnh Nam, Huyện Đức Hòa, Long An</t>
  </si>
  <si>
    <t>Ấp Mới 2, Xã Mỹ Hạnh Nam, Huyện Đức Hòa, Long An</t>
  </si>
  <si>
    <t>001</t>
  </si>
  <si>
    <t>080 305010021</t>
  </si>
  <si>
    <t>Xã Mỹ Hạnh Nam, Đức Hòa, Long An</t>
  </si>
  <si>
    <t>Ấp Mới 2, Xã Mỹ Hạnh Nam, Đức Hòa, Long An</t>
  </si>
  <si>
    <t>TV019</t>
  </si>
  <si>
    <t>080 30411999</t>
  </si>
  <si>
    <t>002</t>
  </si>
  <si>
    <t>080 305003525</t>
  </si>
  <si>
    <t>Mỹ Hạnh Nam, Đức Hòa, Long An</t>
  </si>
  <si>
    <t>Ấp Mới 2, Mỹ Hạnh Nam, Đức Hòa, Long An</t>
  </si>
  <si>
    <t>TV016</t>
  </si>
  <si>
    <t>079 087015683</t>
  </si>
  <si>
    <t>Vĩnh Thanh Vân, TP. Gạch Giá, Kiên Giang</t>
  </si>
  <si>
    <t>243/31/22 Tôn Đản, P.15, Quận 4</t>
  </si>
  <si>
    <t>TV029</t>
  </si>
  <si>
    <t>087 097017128</t>
  </si>
  <si>
    <t>Phú Thành A, Tam Nông, Đồng Tháp</t>
  </si>
  <si>
    <t>Ấp Long Phú A, Phú Thành A, Tam Nông, Đồng Tháp</t>
  </si>
  <si>
    <t>TV032</t>
  </si>
  <si>
    <t>087 303008541</t>
  </si>
  <si>
    <t>Tân Nghĩa , Cao Lãnh, Đồng Tháp</t>
  </si>
  <si>
    <t>Tổ 17 Ấp 1 Tân Nghĩa , Cao Lãnh, Đồng Tháp</t>
  </si>
  <si>
    <t>TV031</t>
  </si>
  <si>
    <t>0911 94005383</t>
  </si>
  <si>
    <t>Đông Hưng B, An Minh, Kiên Giang</t>
  </si>
  <si>
    <t>Tổ 6, Ấp 15 Đông Hưng B, An Minh, Kiên Giang</t>
  </si>
  <si>
    <t>TV043</t>
  </si>
  <si>
    <t>An Bình A, TP. Hồng Ngự Đồng Tháp</t>
  </si>
  <si>
    <t>Thống Nhất 2, Tân Công Chí, Tấn Hồng, Đồng Tháp</t>
  </si>
  <si>
    <t>TV041</t>
  </si>
  <si>
    <t>087 301006301</t>
  </si>
  <si>
    <t>An Thạnh, TP. Hồng Ngự Đồng Tháp</t>
  </si>
  <si>
    <t>Long Thị B, Long Hưng, Thị Xã Tân Châu, An Giang</t>
  </si>
  <si>
    <t>TV038</t>
  </si>
  <si>
    <t>089 097015967</t>
  </si>
  <si>
    <t>Thị Xã Tân Châu, An Giang</t>
  </si>
  <si>
    <t>Tổ 7 Long Thị B, Long Hưng, Thị Xã Tân Châu, An Giang</t>
  </si>
  <si>
    <t>TV039</t>
  </si>
  <si>
    <t>096 190007181</t>
  </si>
  <si>
    <t>Ấp Canh Điền, Long Điền Tây, Long Hải, Bạc Liêu</t>
  </si>
  <si>
    <t>Ấp 3, Xã Đức Hòa Đông, Đức Hòa, Long An</t>
  </si>
  <si>
    <t>TV051</t>
  </si>
  <si>
    <t>08 0096007836</t>
  </si>
  <si>
    <t>Hòa Khánh Nam, Đức Hòa, Long An</t>
  </si>
  <si>
    <t>Ấp Thuận Hòa 1, Hòa Khánh Nam, Đức Hòa, Long An</t>
  </si>
  <si>
    <t>TV053</t>
  </si>
  <si>
    <t>08 0203017204</t>
  </si>
  <si>
    <t>Ấp Thuận Hòa 2, Hòa Khánh Nam, Đức Hòa, Long An</t>
  </si>
  <si>
    <t>TV054</t>
  </si>
  <si>
    <t>DG032</t>
  </si>
  <si>
    <t>GIAO MINH TUẤN</t>
  </si>
  <si>
    <t>012 096003820</t>
  </si>
  <si>
    <t>Tà Mít, Tân Uyên, Lai Châu</t>
  </si>
  <si>
    <t>Bản Quyết Tiến, Pắc Ta, Tân Uyên , Lai Châu</t>
  </si>
  <si>
    <t>089 09812473</t>
  </si>
  <si>
    <t>Vĩnh Hội Đông, An Phú, An Giang</t>
  </si>
  <si>
    <t>Ấp Cà Na, Lương An Trà, Tri Tôn, An Giang</t>
  </si>
  <si>
    <t>080 205004317</t>
  </si>
  <si>
    <t>Xã Mỹ Hạnh Bắc, Đức Hòa, Long An</t>
  </si>
  <si>
    <t>Ấp Tràm Lạc, Xã Mỹ Hạnh Bắc, Đức Hòa, Long An</t>
  </si>
  <si>
    <t>014</t>
  </si>
  <si>
    <t>080 096004229</t>
  </si>
  <si>
    <t>Tiên Thủy, Châu Thành, Bến Tre</t>
  </si>
  <si>
    <t>Ấp Gò Dồ, Bình Hòa Tây, Mộc Hóa, Long An</t>
  </si>
  <si>
    <t>013</t>
  </si>
  <si>
    <t>079 088018145</t>
  </si>
  <si>
    <t>73/3 Lê Đức Thọ, P.17, Q. Gò Vấp, TP. HCM</t>
  </si>
  <si>
    <t>Ấp Tràm Lạc, Xã Mỹ Hạnh Bắc, H. Đức Hòa, Long An</t>
  </si>
  <si>
    <t>007</t>
  </si>
  <si>
    <t>084 087011521</t>
  </si>
  <si>
    <t>Huyền Hội, Càng Long, Trà Vinh</t>
  </si>
  <si>
    <t>Ấp Kinh A, Huyền Hội, Càng Long, Trà Vinh</t>
  </si>
  <si>
    <t>TV021</t>
  </si>
  <si>
    <t>087 200005276</t>
  </si>
  <si>
    <t>Ấp Kinh 2A, Xã Phước Lập, H. Tân Phước, Tiền Giang</t>
  </si>
  <si>
    <t>TV003</t>
  </si>
  <si>
    <t>083 201013505</t>
  </si>
  <si>
    <t>Hòa Nghĩa, Chợ Lách, Bến Tre</t>
  </si>
  <si>
    <t>602/10 Bình An A, Thị trấn Chợ Lách, Chợ Lách, Bến Tre</t>
  </si>
  <si>
    <t>TV055</t>
  </si>
  <si>
    <t>SC001</t>
  </si>
  <si>
    <t>TRẦN TẤN THÀNH</t>
  </si>
  <si>
    <t>Cục Cảnh Sát</t>
  </si>
  <si>
    <t>371/AH, An Hòa, An Hòa, An Phú Trung, Ba Tri, Bến Tre</t>
  </si>
  <si>
    <t>Ấp Mới 1, Xã Mỹ Hạnh Nam, Đức Hòa, Long</t>
  </si>
  <si>
    <t>006</t>
  </si>
  <si>
    <t>Hành chính</t>
  </si>
  <si>
    <t>0121 95000221</t>
  </si>
  <si>
    <t>Bàn Tân Muôn, Thị trấn Tân Uyên, Tân Uyên, Lai Châu</t>
  </si>
  <si>
    <t>Cục Cảnh sát</t>
  </si>
  <si>
    <t>Ấp Ô Tà Sóc, Lương Phi, Tri Tôn, An Giang</t>
  </si>
  <si>
    <t>Tân Thuận Đông, Quận 7, Hồ Chí Minh</t>
  </si>
  <si>
    <t>46/4H Khu phố 01, P. Tân Thuận Tây, Q.7, TPHCM</t>
  </si>
  <si>
    <t>Dưới 3 tháng</t>
  </si>
  <si>
    <t>Xã Đlieyang - EaHleo - Đaklak</t>
  </si>
  <si>
    <t>Thôn 1 - Xã Đlieyang - EaHleo - Đaklak</t>
  </si>
  <si>
    <t>TV022</t>
  </si>
  <si>
    <t>Hoài Phú, Hoài Nhơn, Bình Định</t>
  </si>
  <si>
    <t>Thôn Mỹ Bình Ba, Hoài Phú, Hoài Nhơn, Bình Định</t>
  </si>
  <si>
    <t>TV007</t>
  </si>
  <si>
    <t>Nam Thái, An Biên, Kiên Giang</t>
  </si>
  <si>
    <t>Ấp Đồng Giữa, Nam Thái, An Biên, Kiên Giang</t>
  </si>
  <si>
    <t>TV014</t>
  </si>
  <si>
    <t>Xã Nam Thái, An Biên, Kiên Giang</t>
  </si>
  <si>
    <t>Ấp 6 Đình, Xã Nam Thái, An Biên, Kiên Giang</t>
  </si>
  <si>
    <t>TV040</t>
  </si>
  <si>
    <t>Hưng Thành, Vĩnh Lợi, Bạc Liêu</t>
  </si>
  <si>
    <t>Ấp Xẽo Nhào, Hưng Thành, Vĩnh Lợi, Bạc Liêu</t>
  </si>
  <si>
    <t>TV023</t>
  </si>
  <si>
    <t>Long Phú A, Phú Thành A, Tam Nông, Đồng Tháp</t>
  </si>
  <si>
    <t>TV018</t>
  </si>
  <si>
    <t>13/23 Ấp 1, Tân Quý Tây, Bình Chánh, TP.HCM</t>
  </si>
  <si>
    <t>TV013</t>
  </si>
  <si>
    <t>Vĩnh Sương, Thị Xã Tân Châu, An Giang</t>
  </si>
  <si>
    <t>Tổ 15 Ấp 2, Vĩnh Sương, Thị Xã Tân Châu, An Giang</t>
  </si>
  <si>
    <t>TV044</t>
  </si>
  <si>
    <t>Phú Cần, Tiểu Cần, Trà Vinh</t>
  </si>
  <si>
    <t>Ấp Đại Trường, Phú Cần, Tiểu Cần, Trà Vinh</t>
  </si>
  <si>
    <t>TV025</t>
  </si>
  <si>
    <t>Ninh Quới, Hồng Dân, Bạc Liêu</t>
  </si>
  <si>
    <t>Ấp Vàm, Ninh Quới, Hồng Dân, Bạc Liêu</t>
  </si>
  <si>
    <t>TV035</t>
  </si>
  <si>
    <t>An Long, Tam Nông, Đồng Tháp</t>
  </si>
  <si>
    <t>Ấp Phú Yên, An Long, Tam Nông, Đồng Tháp</t>
  </si>
  <si>
    <t>TV006</t>
  </si>
  <si>
    <t>61/3 Hàm Nghi, Vĩnh Thanh Vân, TP. Gạch Giá, Kiên Giang</t>
  </si>
  <si>
    <t>TV005</t>
  </si>
  <si>
    <t>052 175 003 607</t>
  </si>
  <si>
    <t>Tây An, Tây Sơn , Bình Định</t>
  </si>
  <si>
    <t>Thôn M8, Vĩnh Hòa, Vĩnh Thạnh, Bình Định</t>
  </si>
  <si>
    <t>TV045</t>
  </si>
  <si>
    <t>040 063 017 619</t>
  </si>
  <si>
    <t>Bình Lợi,Hòa Khánh Đông, Đức Hòa, Long An</t>
  </si>
  <si>
    <t>TV028</t>
  </si>
  <si>
    <t>Thuận Hưng, Thốt Nốt, Cần Thơ</t>
  </si>
  <si>
    <t>KV Tân Quới, Tân Hưng, Thốt Nốt, Cần Thơ</t>
  </si>
  <si>
    <t>TV030</t>
  </si>
  <si>
    <t>Xã Tân Hiệp, Thạnh Hóa, Long An</t>
  </si>
  <si>
    <t>Ấp 2 Xã Tân Hiệp, Thạnh Hóa, Long An</t>
  </si>
  <si>
    <t>TV002</t>
  </si>
  <si>
    <t>Vĩnh Phong, Vĩnh Thuận, Kiên Giang</t>
  </si>
  <si>
    <t>Tổ 2, Cạnh Đ, Vĩnh Phong, Vĩnh Thuận, Kiên Giang</t>
  </si>
  <si>
    <t>TV027</t>
  </si>
  <si>
    <t>Lợi An, Trần Văn Thời, Cà Mau</t>
  </si>
  <si>
    <t>Ấp Tân Hiệp, Lợi An, Trần Văn Thời, Cà Mau</t>
  </si>
  <si>
    <t>TV034</t>
  </si>
  <si>
    <t>089 177023586</t>
  </si>
  <si>
    <t>Tân An, Thị Xã Tân Châu, An Giang</t>
  </si>
  <si>
    <t>Phú Cường, An Nông, Tịnh Biên, An Giang</t>
  </si>
  <si>
    <t>TV036</t>
  </si>
  <si>
    <t>087 180004021</t>
  </si>
  <si>
    <t>cục cảnh sát</t>
  </si>
  <si>
    <t>Định Hoà, Lai Vung, Đồng Tháp</t>
  </si>
  <si>
    <t>Ấp Long An, Long Thắng, Lai Vung, Đồng Tháp</t>
  </si>
  <si>
    <t>TV033</t>
  </si>
  <si>
    <t>012 099000079</t>
  </si>
  <si>
    <t>Bản Quyết Tiến, Pắc Pa, Tân Uyên, Lai Châu</t>
  </si>
  <si>
    <t>0120 92003616</t>
  </si>
  <si>
    <t>Tà Mít , Tân Uyên, Lai Châu</t>
  </si>
  <si>
    <t>TV048</t>
  </si>
  <si>
    <t>012 195004983</t>
  </si>
  <si>
    <t>Quyết Tiến, Pắc Ta, Tân Uyên, Lai Châu</t>
  </si>
  <si>
    <t>TV049</t>
  </si>
  <si>
    <t>012 206000136</t>
  </si>
  <si>
    <t>TV050</t>
  </si>
  <si>
    <t>080 76010321</t>
  </si>
  <si>
    <t>Mỹ Hạnh Bắc , Đức Hòa, Long An</t>
  </si>
  <si>
    <t>Ấp Rừng Dầu, Mỹ Hạnh Bắc , Đức Hòa, Long An</t>
  </si>
  <si>
    <t>TV052</t>
  </si>
  <si>
    <t>095 064004312</t>
  </si>
  <si>
    <t xml:space="preserve">Minh Diệu, Hòa Bình, Bạc Liêu </t>
  </si>
  <si>
    <t>Ấp Mới 2, Xã Mỹ Hạnh Nam , Đức Hòa, Long An</t>
  </si>
  <si>
    <t>TV056</t>
  </si>
  <si>
    <t>091 092007258</t>
  </si>
  <si>
    <t>TV057</t>
  </si>
  <si>
    <t>087 180003536</t>
  </si>
  <si>
    <t>Bình Tân, Thanh Bình, Đồng Tháp</t>
  </si>
  <si>
    <t>Khóm 1, Thị trấn Tràm Chim, Tam Nông, Đồng Tháp</t>
  </si>
  <si>
    <t>TV058</t>
  </si>
  <si>
    <t>093 203002043</t>
  </si>
  <si>
    <t>Trà Lồng, Thị Xã Long Mỹ, Hậu Giang</t>
  </si>
  <si>
    <t>Khu vực 2, Trà Lồng, Thị Xã Long Mỹ, Hậu Giang</t>
  </si>
  <si>
    <t>080 190013859</t>
  </si>
  <si>
    <t>Ấp Thôi Môi, Xã Hòa Khánh Đông, Đức Hòa, Long An</t>
  </si>
  <si>
    <t>TV001</t>
  </si>
  <si>
    <t>010</t>
  </si>
  <si>
    <t>004</t>
  </si>
  <si>
    <t>003</t>
  </si>
  <si>
    <t>Đi trễ/về sớm</t>
  </si>
  <si>
    <t>Phép năm</t>
  </si>
  <si>
    <t>ĐT/VS</t>
  </si>
  <si>
    <t>Đi trễ về sớm</t>
  </si>
  <si>
    <t>X</t>
  </si>
  <si>
    <t>HC</t>
  </si>
  <si>
    <t>H</t>
  </si>
  <si>
    <t>Ca hành chính</t>
  </si>
  <si>
    <t>K</t>
  </si>
  <si>
    <t>L</t>
  </si>
  <si>
    <t>NGUYỄN THỊ QUỲNH NHƯ</t>
  </si>
  <si>
    <t>VỎ THÚY DIỂM</t>
  </si>
  <si>
    <t>TT001</t>
  </si>
  <si>
    <t>NGUYỄN THANH ĐỨC</t>
  </si>
  <si>
    <t>NGUYỄN THỊ THUỲ LAN</t>
  </si>
  <si>
    <t>SC043</t>
  </si>
  <si>
    <t>TRẦN CÔNG THANH</t>
  </si>
  <si>
    <t>BT</t>
  </si>
  <si>
    <t>TX</t>
  </si>
  <si>
    <t>ĐẶNG HỒNG SƠN</t>
  </si>
  <si>
    <t>HOÀNG VĂN HÙNG</t>
  </si>
  <si>
    <t>CAO TRỌNG QUÍ</t>
  </si>
  <si>
    <t>SC044</t>
  </si>
  <si>
    <t>NGUYỄN VĂN THƠM</t>
  </si>
  <si>
    <t>X/2</t>
  </si>
  <si>
    <t>Nghỉ nữa buổi</t>
  </si>
  <si>
    <t xml:space="preserve"> </t>
  </si>
  <si>
    <t>HUỲNH NGỌC THƯƠNG</t>
  </si>
  <si>
    <t>HOÀNG THỊ SINH</t>
  </si>
  <si>
    <t>NGUYỄN VĂN DŨNG</t>
  </si>
  <si>
    <t>SC045</t>
  </si>
  <si>
    <t>SC046</t>
  </si>
  <si>
    <t>SC047</t>
  </si>
  <si>
    <t>SC048</t>
  </si>
  <si>
    <t>SC050</t>
  </si>
  <si>
    <t>NGUYỄN THÁI NAM</t>
  </si>
  <si>
    <t>ĐẶNG TẤN TÀI</t>
  </si>
  <si>
    <t>SC051</t>
  </si>
  <si>
    <t>NGÔ HỒNG KHỎE</t>
  </si>
  <si>
    <t>SC052</t>
  </si>
  <si>
    <t>PHAN VĂN LIÊM</t>
  </si>
  <si>
    <t>SC053</t>
  </si>
  <si>
    <t>SC054</t>
  </si>
  <si>
    <t>TRẦN THỊ HIẾU</t>
  </si>
  <si>
    <t>NGUYỄN THỊ THỦY</t>
  </si>
  <si>
    <t>DG033</t>
  </si>
  <si>
    <t>TV 003</t>
  </si>
  <si>
    <t>NGUYỄN THỊ ĐAN VY</t>
  </si>
  <si>
    <t>VP001</t>
  </si>
  <si>
    <t>VP002</t>
  </si>
  <si>
    <t>DƯƠNG THỊ THANH PHỤNG</t>
  </si>
  <si>
    <t>NGUYỄN KIM THU THỦY</t>
  </si>
  <si>
    <t>NGUYỄN QUỲNH PHƯƠNG THÚY</t>
  </si>
  <si>
    <t>Lương CB</t>
  </si>
  <si>
    <t>Ngày công thực tế</t>
  </si>
  <si>
    <t>Lương thực tế</t>
  </si>
  <si>
    <t>TỔNG LƯƠNG</t>
  </si>
  <si>
    <t>Các khoản giảm trừ</t>
  </si>
  <si>
    <t>THỰC LĨNH</t>
  </si>
  <si>
    <t>PC khác</t>
  </si>
  <si>
    <t>Lương ngày công</t>
  </si>
  <si>
    <t>NGUYỄN TUẤN KIỆT</t>
  </si>
  <si>
    <t>BẢNG CHẤM CÔNG</t>
  </si>
  <si>
    <t>1 - ĐÓNG GÓI</t>
  </si>
  <si>
    <t>2 - GIA NHIỆT</t>
  </si>
  <si>
    <t>3 - SƠ CHẾ</t>
  </si>
  <si>
    <t>4 - TEM TÚI</t>
  </si>
  <si>
    <t>5 - VĂN PHÒNG</t>
  </si>
  <si>
    <t>Phụ cấp khác</t>
  </si>
  <si>
    <t>PHỤ CẤP</t>
  </si>
  <si>
    <t>Ngày công TB</t>
  </si>
  <si>
    <t>TỔNG GIẢM TRỪ</t>
  </si>
  <si>
    <t>Tạm ứng</t>
  </si>
  <si>
    <t xml:space="preserve">Vi phạm </t>
  </si>
  <si>
    <t>Tổng lương</t>
  </si>
  <si>
    <t>Chủ nhật x2</t>
  </si>
  <si>
    <t>Ngoài giờ x1,8</t>
  </si>
  <si>
    <t>Ngoài giờ x1,5</t>
  </si>
  <si>
    <t>Lương phụ cấp</t>
  </si>
  <si>
    <t>BẢNG LƯƠNG THÁNG 03 BỘ PHẬN SẢN XUẤT</t>
  </si>
  <si>
    <t>BEP</t>
  </si>
  <si>
    <t>Trần Thị Thơm</t>
  </si>
  <si>
    <t>Chủ tịch HĐQT</t>
  </si>
  <si>
    <t>Nguyễn Thanh Hoàng</t>
  </si>
  <si>
    <t>Giám đốc</t>
  </si>
  <si>
    <t xml:space="preserve">Nguyễn Đình Quyền </t>
  </si>
  <si>
    <t>TP Kỹ thuật</t>
  </si>
  <si>
    <t xml:space="preserve">Nguyễn Thanh Hà </t>
  </si>
  <si>
    <t>TP R&amp;D</t>
  </si>
  <si>
    <t>Trần Thị Hằng</t>
  </si>
  <si>
    <t>Có mặt</t>
  </si>
  <si>
    <t>CỔNG TY CỔ PHẦN SẢN XUẤT THỰC PHẨM NGỌC THƠM FOODS</t>
  </si>
  <si>
    <t>Lô E5, Đường số 9, Cụm công nghiệp Hải Sơn Đức Hòa Đông, Xã Đức Hòa Đông, Huyện Đức Hoà, Tỉnh Long An</t>
  </si>
  <si>
    <t>HỌ VÀ TÊN</t>
  </si>
  <si>
    <t>CHỨC VỤ</t>
  </si>
  <si>
    <t>MỨC LƯƠNG 
(26 ngày công)</t>
  </si>
  <si>
    <t>LƯƠNG NGÀY CÔNG</t>
  </si>
  <si>
    <t>NGÀY CÔNG THỰC TẾ</t>
  </si>
  <si>
    <t>KHEN/ THƯỞNG</t>
  </si>
  <si>
    <t>CÁC KHOẢN GIẢM TRỪ</t>
  </si>
  <si>
    <t>TỔNG THU NHẬP</t>
  </si>
  <si>
    <t>TẠM ỨNG</t>
  </si>
  <si>
    <t>GHI CHÚ</t>
  </si>
  <si>
    <t>Phạt</t>
  </si>
  <si>
    <t>BHXH</t>
  </si>
  <si>
    <t xml:space="preserve">NGÀY CÔNG </t>
  </si>
  <si>
    <t>1 Phép</t>
  </si>
  <si>
    <t>VP003</t>
  </si>
  <si>
    <t xml:space="preserve">THẨM NGỌC LAM </t>
  </si>
  <si>
    <t>Kỹ thuật</t>
  </si>
  <si>
    <t>Tài xế</t>
  </si>
  <si>
    <t xml:space="preserve">NV Kho </t>
  </si>
  <si>
    <t>QC Kho</t>
  </si>
  <si>
    <t xml:space="preserve">QC  </t>
  </si>
  <si>
    <t>KT001</t>
  </si>
  <si>
    <t>THẨM NGỌC LAM</t>
  </si>
  <si>
    <t>Nghỉ không báo 1 ngày trừ 50% chuyên cần</t>
  </si>
  <si>
    <t>Nghỉ không báo 2 ngày trừ 100% chuyên cần</t>
  </si>
  <si>
    <t>Nghỉ không báo 3 ngày trừ 100% trách nhiệm</t>
  </si>
  <si>
    <t>Nghỉ không báo quá 3 ngày sa thải</t>
  </si>
  <si>
    <t>HCNS</t>
  </si>
  <si>
    <t>NVVP</t>
  </si>
  <si>
    <t>Kế toán</t>
  </si>
  <si>
    <t>Bếp</t>
  </si>
  <si>
    <t>Báo Nghỉ</t>
  </si>
  <si>
    <t>Báo nghỉ</t>
  </si>
  <si>
    <t>6 - TẠP VỤ</t>
  </si>
  <si>
    <t xml:space="preserve">Ngoài giờ </t>
  </si>
  <si>
    <t xml:space="preserve">TC </t>
  </si>
  <si>
    <t>Trợ cấp</t>
  </si>
  <si>
    <t>Lương tháng 2</t>
  </si>
  <si>
    <t xml:space="preserve">Sản xuất </t>
  </si>
  <si>
    <t>Văn phòng</t>
  </si>
  <si>
    <t>Tổng cộng</t>
  </si>
  <si>
    <t>TỔNG LĐ</t>
  </si>
  <si>
    <t>Tháng 03 năm 2024</t>
  </si>
  <si>
    <t>BẢNG LƯƠNG TỔNG</t>
  </si>
  <si>
    <t>TP SX</t>
  </si>
  <si>
    <t>GIẢM TRỪ GIA CẢNH</t>
  </si>
  <si>
    <t>THU NHẬP TÍNH THUẾ</t>
  </si>
  <si>
    <t>THUẾ TNCN</t>
  </si>
  <si>
    <t>BẢN THÂN</t>
  </si>
  <si>
    <t>GTGC</t>
  </si>
  <si>
    <t>BH  Công Đoàn</t>
  </si>
  <si>
    <t>Số người GT</t>
  </si>
  <si>
    <t>Tổng lương thực tế</t>
  </si>
  <si>
    <t>BHXH-
BHYT-
BHTN (10,5%)</t>
  </si>
  <si>
    <t>Phí CĐ 
(1%)</t>
  </si>
  <si>
    <t>Bù lương T2</t>
  </si>
  <si>
    <t>TỔNG GIẢM</t>
  </si>
  <si>
    <t>TỔNG CỘNG</t>
  </si>
  <si>
    <t>Người lập biểu</t>
  </si>
  <si>
    <t>Trường phòng</t>
  </si>
  <si>
    <t>Giám Đốc</t>
  </si>
  <si>
    <t xml:space="preserve">Kế toán </t>
  </si>
  <si>
    <t>CỘNG GIẢM TRỪ</t>
  </si>
  <si>
    <t>SỐ NGƯỜI GIẢM TRỪ</t>
  </si>
  <si>
    <t>Áp 10% cho thu nhập nơi thứ 2</t>
  </si>
  <si>
    <t>THUẾ 
TNCN</t>
  </si>
  <si>
    <t>PHẠT</t>
  </si>
  <si>
    <t>Nấu bếp ăn CNV</t>
  </si>
  <si>
    <t>BẢNG CHI TIẾT LƯƠNG KHỐI VĂN PHÒNG THÁNG 3.2024</t>
  </si>
  <si>
    <t>KHẤU TRỪ BH &amp; CD</t>
  </si>
  <si>
    <t>TỔNG THU 
NHẬP CHỊU THUÊ</t>
  </si>
  <si>
    <t>TỔNG 
MIỄN THUẾ</t>
  </si>
  <si>
    <t>SỐ NGƯỜI GT</t>
  </si>
  <si>
    <t>GIẢM TRỪ 
GC</t>
  </si>
  <si>
    <t>GIẢM TRỪ 
BẢN THÂN</t>
  </si>
  <si>
    <t>TỔNG GC</t>
  </si>
  <si>
    <t>BẢO HIỂM</t>
  </si>
  <si>
    <t>TỔNG THU NHẬP 
TÍNH THUẾ</t>
  </si>
  <si>
    <t>I. KHỐI QUẢN LÝ CÔNG TY</t>
  </si>
  <si>
    <t>II. KHỐI GIÁN TIẾP</t>
  </si>
  <si>
    <t>III. TỔNG CỘNG KHỐI SẢN XUẤT</t>
  </si>
  <si>
    <t>TỔNG CỘNG CÔNG TY</t>
  </si>
  <si>
    <t>TỔNG THU 
NHẬP</t>
  </si>
  <si>
    <t>11=7+9+10</t>
  </si>
  <si>
    <t>9=8*4.400.000</t>
  </si>
  <si>
    <t>12=9-11</t>
  </si>
  <si>
    <t>CÔNG TY TNHH TMDV ĐẦU TƯ CAO THÁI</t>
  </si>
  <si>
    <t>THÁNG:</t>
  </si>
  <si>
    <t>NĂM:</t>
  </si>
  <si>
    <t>CN</t>
  </si>
  <si>
    <t>Số 102, KP 7, P. Thống Nhất, TP. Biên Hòa, Đồng Nai</t>
  </si>
  <si>
    <t>BẢNG  CÔNG T3</t>
  </si>
  <si>
    <t>094.897.8601</t>
  </si>
  <si>
    <t>CTY Ngọc Thơm</t>
  </si>
  <si>
    <t>MÃ NHÂN VIÊN</t>
  </si>
  <si>
    <t>HỌ TÊN</t>
  </si>
  <si>
    <t>CTY</t>
  </si>
  <si>
    <t>CV</t>
  </si>
  <si>
    <t>NGÀY NGHỈ VIỆC</t>
  </si>
  <si>
    <t>CA LÀM VIỆC</t>
  </si>
  <si>
    <t>CÔNG</t>
  </si>
  <si>
    <t>LƯƠNG</t>
  </si>
  <si>
    <t>Ngày</t>
  </si>
  <si>
    <t>Tăng Ca</t>
  </si>
  <si>
    <t>Tc đêm (giờ)</t>
  </si>
  <si>
    <t>CN ̣̣(ngày)</t>
  </si>
  <si>
    <t>CN (đêm)</t>
  </si>
  <si>
    <t>Ngày
( 230.000/8H )</t>
  </si>
  <si>
    <t>TC ngày (giờ)
( 32.000/H)</t>
  </si>
  <si>
    <t>Đêm</t>
  </si>
  <si>
    <t>CN ̣̣(ngày)
(45000/H)</t>
  </si>
  <si>
    <t>ỨNG</t>
  </si>
  <si>
    <t>TỔNG</t>
  </si>
  <si>
    <t>Nguyễn Thị Thủy</t>
  </si>
  <si>
    <t>NGÀY</t>
  </si>
  <si>
    <t>TC</t>
  </si>
  <si>
    <t>Trần Thị Hiếu</t>
  </si>
  <si>
    <t>x</t>
  </si>
  <si>
    <t>ĐÊM</t>
  </si>
  <si>
    <t>Nguyễn Văn Tuấn</t>
  </si>
  <si>
    <t>Lê Kim Đào</t>
  </si>
  <si>
    <t>Lê trường An</t>
  </si>
  <si>
    <t>Huỳnh Ngọc Trâm</t>
  </si>
  <si>
    <t>Lê Thị Ngọc Hân</t>
  </si>
  <si>
    <t>Lê Tấn Đạt</t>
  </si>
  <si>
    <t>Nguyễn Văn Tâm</t>
  </si>
  <si>
    <t>Nguyễn Quốc Vinh</t>
  </si>
  <si>
    <t>Nguyễn Văn Hul</t>
  </si>
  <si>
    <t>Nguyễn Thanh Tuấn</t>
  </si>
  <si>
    <t>Huỳnh Ngọc Thương</t>
  </si>
  <si>
    <t>Nguyễn Thị Hằng</t>
  </si>
  <si>
    <t>Đỗ Văn Hòa</t>
  </si>
  <si>
    <t>Lê Thị Chúc</t>
  </si>
  <si>
    <t>Huỳnh Thị Thu Hương</t>
  </si>
  <si>
    <t>Nguyễn Phúc Hậu</t>
  </si>
  <si>
    <t>Trần Văn Vàng</t>
  </si>
  <si>
    <t>Danh Thị Trang</t>
  </si>
  <si>
    <t>VAT</t>
  </si>
  <si>
    <t>THÀNH TIỀN</t>
  </si>
  <si>
    <t>Đi trễ/
về sớm</t>
  </si>
  <si>
    <t>TỔNG BLD(5 LD)</t>
  </si>
  <si>
    <t>Văn phòng (9LD)</t>
  </si>
  <si>
    <t>Sản xuất (85LD)</t>
  </si>
  <si>
    <t>Tổng cộng(99LD)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</si>
</sst>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_-* #,##0\ _₫_-;\-* #,##0\ _₫_-;_-* &quot;-&quot;\ _₫_-;_-@_-"/>
    <numFmt numFmtId="166" formatCode="_-* #,##0.00\ _₫_-;\-* #,##0.00\ _₫_-;_-* &quot;-&quot;??\ _₫_-;_-@_-"/>
    <numFmt numFmtId="167" formatCode="dd"/>
    <numFmt numFmtId="168" formatCode="_(* #,##0.0_);_(* \(#,##0.0\);_(* &quot;-&quot;?_);_(@_)"/>
    <numFmt numFmtId="169" formatCode="#,##0.0"/>
    <numFmt numFmtId="170" formatCode="_(* #,##0.00_);_(* \(#,##0.00\);_(* \-??_);_(@_)"/>
    <numFmt numFmtId="171" formatCode="_-* #,##0.0\ _₫_-;\-* #,##0.0\ _₫_-;_-* &quot;-&quot;??\ _₫_-;_-@_-"/>
    <numFmt numFmtId="172" formatCode="0.0"/>
    <numFmt numFmtId="173" formatCode="_(* #,##0_);_(* \(#,##0\);_(* &quot;-&quot;??_);_(@_)"/>
    <numFmt numFmtId="174" formatCode="_-* #,##0\ _₫_-;\-* #,##0\ _₫_-;_-* &quot;-&quot;??\ _₫_-;_-@_-"/>
    <numFmt numFmtId="175" formatCode=";;;"/>
    <numFmt numFmtId="176" formatCode="dd/yyyy"/>
  </numFmts>
  <fonts count="7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FF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sz val="10"/>
      <color rgb="FF0000FF"/>
      <name val="Times New Roman"/>
      <family val="1"/>
    </font>
    <font>
      <b/>
      <i/>
      <sz val="10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10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FF0000"/>
      <name val="Times New Roman"/>
      <family val="1"/>
    </font>
    <font>
      <b/>
      <sz val="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  <charset val="163"/>
    </font>
    <font>
      <b/>
      <sz val="11"/>
      <color theme="1"/>
      <name val="Times New Roman"/>
      <family val="1"/>
      <charset val="163"/>
    </font>
    <font>
      <b/>
      <sz val="12"/>
      <color theme="1"/>
      <name val="Calibri Light"/>
      <family val="1"/>
      <charset val="163"/>
      <scheme val="major"/>
    </font>
    <font>
      <b/>
      <sz val="10"/>
      <color theme="1"/>
      <name val="Times New Roman"/>
      <family val="1"/>
      <charset val="163"/>
    </font>
    <font>
      <b/>
      <sz val="11"/>
      <color indexed="8"/>
      <name val="Times New Roman"/>
      <family val="1"/>
      <charset val="163"/>
    </font>
    <font>
      <sz val="12"/>
      <color theme="1"/>
      <name val="Calibri Light"/>
      <family val="1"/>
      <charset val="163"/>
      <scheme val="major"/>
    </font>
    <font>
      <b/>
      <sz val="20"/>
      <color theme="1"/>
      <name val="Times New Roman"/>
      <family val="1"/>
    </font>
    <font>
      <sz val="11"/>
      <color theme="1"/>
      <name val="Calibri Light"/>
      <family val="1"/>
      <charset val="163"/>
      <scheme val="major"/>
    </font>
    <font>
      <b/>
      <sz val="11"/>
      <color theme="1"/>
      <name val="Calibri Light"/>
      <family val="1"/>
      <charset val="163"/>
      <scheme val="major"/>
    </font>
    <font>
      <b/>
      <sz val="11"/>
      <name val="Calibri Light"/>
      <family val="1"/>
      <charset val="163"/>
      <scheme val="major"/>
    </font>
    <font>
      <i/>
      <sz val="12"/>
      <color theme="1"/>
      <name val="Calibri Light"/>
      <family val="1"/>
      <charset val="163"/>
      <scheme val="major"/>
    </font>
    <font>
      <b/>
      <i/>
      <sz val="12"/>
      <color theme="1"/>
      <name val="Calibri Light"/>
      <family val="1"/>
      <charset val="163"/>
      <scheme val="major"/>
    </font>
    <font>
      <b/>
      <sz val="10"/>
      <name val="Calibri Light"/>
      <family val="1"/>
      <charset val="163"/>
      <scheme val="major"/>
    </font>
    <font>
      <b/>
      <sz val="10"/>
      <color theme="1"/>
      <name val="Calibri Light"/>
      <family val="1"/>
      <charset val="163"/>
      <scheme val="major"/>
    </font>
    <font>
      <b/>
      <sz val="11"/>
      <color indexed="8"/>
      <name val="Calibri Light"/>
      <family val="1"/>
      <charset val="163"/>
      <scheme val="major"/>
    </font>
    <font>
      <sz val="10"/>
      <color rgb="FF000000"/>
      <name val="Calibri Light"/>
      <family val="1"/>
      <charset val="163"/>
      <scheme val="major"/>
    </font>
    <font>
      <sz val="10"/>
      <color theme="1"/>
      <name val="Calibri Light"/>
      <family val="1"/>
      <charset val="163"/>
      <scheme val="major"/>
    </font>
    <font>
      <sz val="10"/>
      <name val="Calibri Light"/>
      <family val="1"/>
      <charset val="163"/>
      <scheme val="major"/>
    </font>
    <font>
      <b/>
      <sz val="16"/>
      <color theme="1"/>
      <name val="Calibri Light"/>
      <family val="1"/>
      <charset val="163"/>
      <scheme val="major"/>
    </font>
    <font>
      <sz val="12"/>
      <name val="Times New Roman"/>
      <family val="1"/>
    </font>
    <font>
      <sz val="8"/>
      <name val="Times New Roman"/>
      <family val="1"/>
    </font>
    <font>
      <sz val="8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1E5A0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166" fontId="3" fillId="0" borderId="0" applyFont="0" applyFill="0" applyBorder="0" applyAlignment="0" applyProtection="0"/>
    <xf numFmtId="170" fontId="3" fillId="0" borderId="0" applyFill="0" applyBorder="0" applyAlignment="0" applyProtection="0"/>
    <xf numFmtId="166" fontId="2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0" borderId="0"/>
  </cellStyleXfs>
  <cellXfs count="544">
    <xf numFmtId="0" fontId="0" fillId="0" borderId="0" xfId="0"/>
    <xf numFmtId="0" fontId="13" fillId="0" borderId="2" xfId="1" applyFont="1" applyBorder="1" applyAlignment="1">
      <alignment horizontal="center" vertical="center"/>
    </xf>
    <xf numFmtId="0" fontId="2" fillId="0" borderId="0" xfId="1"/>
    <xf numFmtId="3" fontId="8" fillId="0" borderId="1" xfId="1" applyNumberFormat="1" applyFont="1" applyBorder="1" applyAlignment="1">
      <alignment horizontal="center" vertical="center" wrapText="1"/>
    </xf>
    <xf numFmtId="0" fontId="2" fillId="0" borderId="1" xfId="1" applyBorder="1"/>
    <xf numFmtId="0" fontId="8" fillId="0" borderId="1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vertical="center"/>
    </xf>
    <xf numFmtId="14" fontId="2" fillId="0" borderId="1" xfId="1" applyNumberForma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2" fillId="0" borderId="1" xfId="1" applyBorder="1" applyAlignment="1">
      <alignment horizontal="center" vertical="center"/>
    </xf>
    <xf numFmtId="14" fontId="2" fillId="0" borderId="1" xfId="1" applyNumberFormat="1" applyBorder="1"/>
    <xf numFmtId="3" fontId="2" fillId="0" borderId="1" xfId="1" applyNumberFormat="1" applyBorder="1"/>
    <xf numFmtId="3" fontId="8" fillId="4" borderId="1" xfId="1" applyNumberFormat="1" applyFont="1" applyFill="1" applyBorder="1" applyAlignment="1">
      <alignment vertical="center"/>
    </xf>
    <xf numFmtId="49" fontId="9" fillId="0" borderId="0" xfId="1" applyNumberFormat="1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14" fontId="12" fillId="0" borderId="0" xfId="1" applyNumberFormat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/>
    <xf numFmtId="0" fontId="13" fillId="0" borderId="0" xfId="1" applyFont="1" applyAlignment="1">
      <alignment vertical="center"/>
    </xf>
    <xf numFmtId="14" fontId="12" fillId="0" borderId="0" xfId="1" applyNumberFormat="1" applyFont="1"/>
    <xf numFmtId="3" fontId="12" fillId="0" borderId="0" xfId="1" applyNumberFormat="1" applyFont="1"/>
    <xf numFmtId="0" fontId="14" fillId="0" borderId="5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14" fontId="12" fillId="0" borderId="7" xfId="1" applyNumberFormat="1" applyFont="1" applyBorder="1" applyAlignment="1">
      <alignment horizontal="center" vertical="center" wrapText="1"/>
    </xf>
    <xf numFmtId="49" fontId="12" fillId="0" borderId="7" xfId="1" applyNumberFormat="1" applyFont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14" fontId="12" fillId="0" borderId="6" xfId="1" applyNumberFormat="1" applyFont="1" applyBorder="1" applyAlignment="1">
      <alignment horizontal="center" vertical="center"/>
    </xf>
    <xf numFmtId="14" fontId="12" fillId="0" borderId="6" xfId="1" applyNumberFormat="1" applyFont="1" applyBorder="1" applyAlignment="1">
      <alignment vertical="center"/>
    </xf>
    <xf numFmtId="3" fontId="12" fillId="0" borderId="6" xfId="1" applyNumberFormat="1" applyFont="1" applyBorder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4" fontId="12" fillId="0" borderId="1" xfId="1" applyNumberFormat="1" applyFont="1" applyBorder="1" applyAlignment="1">
      <alignment horizontal="center" vertical="center"/>
    </xf>
    <xf numFmtId="14" fontId="12" fillId="0" borderId="1" xfId="1" applyNumberFormat="1" applyFont="1" applyBorder="1" applyAlignment="1">
      <alignment vertical="center"/>
    </xf>
    <xf numFmtId="3" fontId="12" fillId="0" borderId="1" xfId="1" applyNumberFormat="1" applyFont="1" applyBorder="1" applyAlignment="1">
      <alignment vertical="center"/>
    </xf>
    <xf numFmtId="0" fontId="12" fillId="0" borderId="1" xfId="1" applyFont="1" applyBorder="1"/>
    <xf numFmtId="0" fontId="12" fillId="0" borderId="1" xfId="1" applyFont="1" applyBorder="1" applyAlignment="1">
      <alignment horizontal="center"/>
    </xf>
    <xf numFmtId="14" fontId="12" fillId="0" borderId="1" xfId="1" applyNumberFormat="1" applyFont="1" applyBorder="1"/>
    <xf numFmtId="0" fontId="12" fillId="0" borderId="1" xfId="1" quotePrefix="1" applyFont="1" applyBorder="1" applyAlignment="1">
      <alignment horizontal="center" vertical="center"/>
    </xf>
    <xf numFmtId="3" fontId="12" fillId="0" borderId="1" xfId="1" applyNumberFormat="1" applyFont="1" applyBorder="1"/>
    <xf numFmtId="0" fontId="11" fillId="0" borderId="1" xfId="1" applyFont="1" applyBorder="1"/>
    <xf numFmtId="14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4" fontId="11" fillId="0" borderId="1" xfId="1" applyNumberFormat="1" applyFont="1" applyBorder="1"/>
    <xf numFmtId="3" fontId="11" fillId="0" borderId="1" xfId="1" applyNumberFormat="1" applyFont="1" applyBorder="1"/>
    <xf numFmtId="0" fontId="2" fillId="0" borderId="6" xfId="1" applyBorder="1"/>
    <xf numFmtId="0" fontId="12" fillId="0" borderId="6" xfId="1" applyFont="1" applyBorder="1"/>
    <xf numFmtId="0" fontId="12" fillId="0" borderId="6" xfId="1" applyFont="1" applyBorder="1" applyAlignment="1">
      <alignment horizontal="center"/>
    </xf>
    <xf numFmtId="14" fontId="12" fillId="0" borderId="6" xfId="1" applyNumberFormat="1" applyFont="1" applyBorder="1"/>
    <xf numFmtId="0" fontId="8" fillId="0" borderId="1" xfId="1" applyFont="1" applyBorder="1"/>
    <xf numFmtId="14" fontId="8" fillId="0" borderId="1" xfId="1" applyNumberFormat="1" applyFont="1" applyBorder="1" applyAlignment="1">
      <alignment horizontal="center" vertical="center"/>
    </xf>
    <xf numFmtId="14" fontId="8" fillId="0" borderId="1" xfId="1" applyNumberFormat="1" applyFont="1" applyBorder="1"/>
    <xf numFmtId="0" fontId="0" fillId="0" borderId="0" xfId="0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 wrapText="1"/>
    </xf>
    <xf numFmtId="168" fontId="6" fillId="2" borderId="1" xfId="3" applyNumberFormat="1" applyFont="1" applyFill="1" applyBorder="1" applyAlignment="1">
      <alignment horizontal="center" vertical="center" wrapText="1"/>
    </xf>
    <xf numFmtId="169" fontId="7" fillId="0" borderId="1" xfId="3" applyNumberFormat="1" applyFont="1" applyBorder="1" applyAlignment="1">
      <alignment horizontal="center" vertical="center" wrapText="1"/>
    </xf>
    <xf numFmtId="169" fontId="8" fillId="0" borderId="1" xfId="1" applyNumberFormat="1" applyFont="1" applyBorder="1" applyAlignment="1">
      <alignment horizontal="center" vertical="center"/>
    </xf>
    <xf numFmtId="0" fontId="5" fillId="5" borderId="1" xfId="3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167" fontId="5" fillId="9" borderId="1" xfId="3" applyNumberFormat="1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/>
    </xf>
    <xf numFmtId="169" fontId="7" fillId="9" borderId="1" xfId="3" applyNumberFormat="1" applyFont="1" applyFill="1" applyBorder="1" applyAlignment="1">
      <alignment horizontal="center" vertical="center" wrapText="1"/>
    </xf>
    <xf numFmtId="169" fontId="8" fillId="9" borderId="1" xfId="1" applyNumberFormat="1" applyFont="1" applyFill="1" applyBorder="1" applyAlignment="1">
      <alignment horizontal="center" vertical="center"/>
    </xf>
    <xf numFmtId="167" fontId="5" fillId="9" borderId="4" xfId="3" applyNumberFormat="1" applyFont="1" applyFill="1" applyBorder="1" applyAlignment="1">
      <alignment horizontal="center" vertical="center" wrapText="1"/>
    </xf>
    <xf numFmtId="0" fontId="5" fillId="9" borderId="4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9" fontId="7" fillId="10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71" fontId="5" fillId="6" borderId="1" xfId="7" applyNumberFormat="1" applyFont="1" applyFill="1" applyBorder="1" applyAlignment="1">
      <alignment vertical="center" wrapText="1"/>
    </xf>
    <xf numFmtId="171" fontId="7" fillId="0" borderId="1" xfId="7" applyNumberFormat="1" applyFont="1" applyFill="1" applyBorder="1" applyAlignment="1">
      <alignment vertical="center" wrapText="1"/>
    </xf>
    <xf numFmtId="171" fontId="8" fillId="0" borderId="1" xfId="7" applyNumberFormat="1" applyFont="1" applyFill="1" applyBorder="1" applyAlignment="1">
      <alignment vertical="center"/>
    </xf>
    <xf numFmtId="172" fontId="5" fillId="6" borderId="1" xfId="7" applyNumberFormat="1" applyFont="1" applyFill="1" applyBorder="1" applyAlignment="1">
      <alignment horizontal="center" vertical="center" wrapText="1"/>
    </xf>
    <xf numFmtId="172" fontId="7" fillId="0" borderId="1" xfId="7" applyNumberFormat="1" applyFont="1" applyFill="1" applyBorder="1" applyAlignment="1">
      <alignment horizontal="center" vertical="center" wrapText="1"/>
    </xf>
    <xf numFmtId="172" fontId="8" fillId="0" borderId="1" xfId="7" applyNumberFormat="1" applyFont="1" applyFill="1" applyBorder="1" applyAlignment="1">
      <alignment horizontal="center" vertical="center"/>
    </xf>
    <xf numFmtId="172" fontId="7" fillId="10" borderId="1" xfId="7" applyNumberFormat="1" applyFont="1" applyFill="1" applyBorder="1" applyAlignment="1">
      <alignment horizontal="center" vertical="center" wrapText="1"/>
    </xf>
    <xf numFmtId="169" fontId="7" fillId="11" borderId="1" xfId="3" applyNumberFormat="1" applyFont="1" applyFill="1" applyBorder="1" applyAlignment="1">
      <alignment horizontal="center" vertical="center" wrapText="1"/>
    </xf>
    <xf numFmtId="169" fontId="8" fillId="11" borderId="1" xfId="1" applyNumberFormat="1" applyFont="1" applyFill="1" applyBorder="1" applyAlignment="1">
      <alignment horizontal="center" vertical="center"/>
    </xf>
    <xf numFmtId="171" fontId="5" fillId="6" borderId="1" xfId="7" applyNumberFormat="1" applyFont="1" applyFill="1" applyBorder="1" applyAlignment="1">
      <alignment horizontal="center" vertical="center" wrapText="1"/>
    </xf>
    <xf numFmtId="171" fontId="7" fillId="0" borderId="1" xfId="7" applyNumberFormat="1" applyFont="1" applyFill="1" applyBorder="1" applyAlignment="1">
      <alignment horizontal="center" vertical="center" wrapText="1"/>
    </xf>
    <xf numFmtId="171" fontId="8" fillId="0" borderId="1" xfId="7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2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" fontId="8" fillId="0" borderId="0" xfId="1" applyNumberFormat="1" applyFont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172" fontId="8" fillId="0" borderId="0" xfId="7" applyNumberFormat="1" applyFont="1" applyAlignment="1">
      <alignment horizontal="center" vertical="center"/>
    </xf>
    <xf numFmtId="171" fontId="8" fillId="0" borderId="0" xfId="7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center" wrapText="1"/>
    </xf>
    <xf numFmtId="0" fontId="19" fillId="8" borderId="1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172" fontId="8" fillId="0" borderId="1" xfId="7" applyNumberFormat="1" applyFont="1" applyBorder="1" applyAlignment="1">
      <alignment horizontal="center" vertical="center"/>
    </xf>
    <xf numFmtId="171" fontId="8" fillId="0" borderId="1" xfId="7" applyNumberFormat="1" applyFont="1" applyBorder="1" applyAlignment="1">
      <alignment horizontal="center" vertical="center"/>
    </xf>
    <xf numFmtId="0" fontId="21" fillId="0" borderId="0" xfId="0" applyFont="1"/>
    <xf numFmtId="171" fontId="8" fillId="0" borderId="0" xfId="7" applyNumberFormat="1" applyFont="1" applyAlignment="1">
      <alignment vertical="center"/>
    </xf>
    <xf numFmtId="171" fontId="8" fillId="0" borderId="1" xfId="7" applyNumberFormat="1" applyFont="1" applyBorder="1" applyAlignment="1">
      <alignment vertical="center"/>
    </xf>
    <xf numFmtId="171" fontId="7" fillId="10" borderId="1" xfId="7" applyNumberFormat="1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171" fontId="8" fillId="4" borderId="1" xfId="7" applyNumberFormat="1" applyFont="1" applyFill="1" applyBorder="1" applyAlignment="1">
      <alignment vertical="center" wrapText="1"/>
    </xf>
    <xf numFmtId="171" fontId="8" fillId="3" borderId="1" xfId="7" applyNumberFormat="1" applyFont="1" applyFill="1" applyBorder="1" applyAlignment="1">
      <alignment horizontal="center" vertical="center" wrapText="1"/>
    </xf>
    <xf numFmtId="171" fontId="8" fillId="3" borderId="1" xfId="7" applyNumberFormat="1" applyFont="1" applyFill="1" applyBorder="1" applyAlignment="1">
      <alignment vertical="center" wrapText="1"/>
    </xf>
    <xf numFmtId="174" fontId="8" fillId="0" borderId="1" xfId="7" applyNumberFormat="1" applyFont="1" applyFill="1" applyBorder="1" applyAlignment="1">
      <alignment vertical="center"/>
    </xf>
    <xf numFmtId="171" fontId="23" fillId="0" borderId="1" xfId="7" applyNumberFormat="1" applyFont="1" applyBorder="1" applyAlignment="1">
      <alignment vertical="center"/>
    </xf>
    <xf numFmtId="174" fontId="8" fillId="0" borderId="1" xfId="7" applyNumberFormat="1" applyFont="1" applyBorder="1" applyAlignment="1">
      <alignment vertical="center"/>
    </xf>
    <xf numFmtId="174" fontId="23" fillId="0" borderId="0" xfId="7" applyNumberFormat="1" applyFont="1" applyAlignment="1">
      <alignment vertical="center"/>
    </xf>
    <xf numFmtId="171" fontId="23" fillId="0" borderId="0" xfId="7" applyNumberFormat="1" applyFont="1" applyAlignment="1">
      <alignment vertical="center"/>
    </xf>
    <xf numFmtId="174" fontId="8" fillId="0" borderId="1" xfId="0" applyNumberFormat="1" applyFont="1" applyBorder="1" applyAlignment="1">
      <alignment horizontal="center" vertical="center"/>
    </xf>
    <xf numFmtId="174" fontId="23" fillId="0" borderId="1" xfId="7" applyNumberFormat="1" applyFont="1" applyBorder="1" applyAlignment="1">
      <alignment vertical="center"/>
    </xf>
    <xf numFmtId="165" fontId="31" fillId="2" borderId="1" xfId="3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174" fontId="31" fillId="0" borderId="1" xfId="0" applyNumberFormat="1" applyFont="1" applyBorder="1" applyAlignment="1">
      <alignment horizontal="center" vertical="center"/>
    </xf>
    <xf numFmtId="174" fontId="31" fillId="0" borderId="1" xfId="7" applyNumberFormat="1" applyFont="1" applyFill="1" applyBorder="1" applyAlignment="1">
      <alignment vertical="center"/>
    </xf>
    <xf numFmtId="171" fontId="27" fillId="0" borderId="1" xfId="7" applyNumberFormat="1" applyFont="1" applyBorder="1" applyAlignment="1">
      <alignment vertical="center"/>
    </xf>
    <xf numFmtId="174" fontId="27" fillId="0" borderId="1" xfId="7" applyNumberFormat="1" applyFont="1" applyBorder="1" applyAlignment="1">
      <alignment vertical="center"/>
    </xf>
    <xf numFmtId="174" fontId="31" fillId="0" borderId="1" xfId="7" applyNumberFormat="1" applyFont="1" applyBorder="1" applyAlignment="1">
      <alignment vertical="center"/>
    </xf>
    <xf numFmtId="174" fontId="26" fillId="0" borderId="1" xfId="7" applyNumberFormat="1" applyFont="1" applyBorder="1" applyAlignment="1">
      <alignment vertical="center"/>
    </xf>
    <xf numFmtId="174" fontId="26" fillId="0" borderId="0" xfId="7" applyNumberFormat="1" applyFont="1" applyAlignment="1">
      <alignment vertical="center"/>
    </xf>
    <xf numFmtId="165" fontId="7" fillId="6" borderId="1" xfId="3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174" fontId="7" fillId="6" borderId="1" xfId="0" applyNumberFormat="1" applyFont="1" applyFill="1" applyBorder="1" applyAlignment="1">
      <alignment horizontal="center" vertical="center"/>
    </xf>
    <xf numFmtId="174" fontId="7" fillId="6" borderId="1" xfId="7" applyNumberFormat="1" applyFont="1" applyFill="1" applyBorder="1" applyAlignment="1">
      <alignment vertical="center"/>
    </xf>
    <xf numFmtId="171" fontId="25" fillId="6" borderId="1" xfId="7" applyNumberFormat="1" applyFont="1" applyFill="1" applyBorder="1" applyAlignment="1">
      <alignment vertical="center"/>
    </xf>
    <xf numFmtId="174" fontId="25" fillId="6" borderId="1" xfId="7" applyNumberFormat="1" applyFont="1" applyFill="1" applyBorder="1" applyAlignment="1">
      <alignment vertical="center"/>
    </xf>
    <xf numFmtId="0" fontId="25" fillId="6" borderId="0" xfId="0" applyFont="1" applyFill="1" applyAlignment="1">
      <alignment vertical="center"/>
    </xf>
    <xf numFmtId="174" fontId="0" fillId="0" borderId="0" xfId="7" applyNumberFormat="1" applyFont="1"/>
    <xf numFmtId="171" fontId="24" fillId="13" borderId="1" xfId="7" applyNumberFormat="1" applyFont="1" applyFill="1" applyBorder="1" applyAlignment="1">
      <alignment vertical="center"/>
    </xf>
    <xf numFmtId="174" fontId="24" fillId="14" borderId="1" xfId="7" applyNumberFormat="1" applyFont="1" applyFill="1" applyBorder="1" applyAlignment="1">
      <alignment vertical="center"/>
    </xf>
    <xf numFmtId="174" fontId="23" fillId="15" borderId="1" xfId="7" applyNumberFormat="1" applyFont="1" applyFill="1" applyBorder="1" applyAlignment="1">
      <alignment vertical="center"/>
    </xf>
    <xf numFmtId="0" fontId="33" fillId="0" borderId="0" xfId="0" applyFont="1"/>
    <xf numFmtId="0" fontId="34" fillId="0" borderId="0" xfId="0" applyFont="1" applyAlignment="1">
      <alignment vertical="center"/>
    </xf>
    <xf numFmtId="173" fontId="33" fillId="0" borderId="0" xfId="7" applyNumberFormat="1" applyFont="1"/>
    <xf numFmtId="0" fontId="11" fillId="0" borderId="0" xfId="0" applyFont="1" applyAlignment="1">
      <alignment vertical="center"/>
    </xf>
    <xf numFmtId="0" fontId="11" fillId="0" borderId="0" xfId="0" applyFont="1"/>
    <xf numFmtId="0" fontId="34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173" fontId="36" fillId="16" borderId="1" xfId="7" applyNumberFormat="1" applyFont="1" applyFill="1" applyBorder="1" applyAlignment="1">
      <alignment vertical="center"/>
    </xf>
    <xf numFmtId="0" fontId="36" fillId="0" borderId="1" xfId="0" applyFont="1" applyBorder="1" applyAlignment="1">
      <alignment horizontal="center" vertical="center"/>
    </xf>
    <xf numFmtId="173" fontId="36" fillId="16" borderId="1" xfId="0" applyNumberFormat="1" applyFont="1" applyFill="1" applyBorder="1" applyAlignment="1">
      <alignment vertical="center"/>
    </xf>
    <xf numFmtId="173" fontId="36" fillId="0" borderId="1" xfId="7" applyNumberFormat="1" applyFont="1" applyBorder="1" applyAlignment="1">
      <alignment vertical="center"/>
    </xf>
    <xf numFmtId="173" fontId="34" fillId="0" borderId="1" xfId="0" applyNumberFormat="1" applyFont="1" applyBorder="1" applyAlignment="1">
      <alignment vertical="center"/>
    </xf>
    <xf numFmtId="173" fontId="36" fillId="0" borderId="1" xfId="0" applyNumberFormat="1" applyFont="1" applyBorder="1"/>
    <xf numFmtId="0" fontId="34" fillId="0" borderId="1" xfId="0" applyFont="1" applyBorder="1"/>
    <xf numFmtId="0" fontId="34" fillId="0" borderId="1" xfId="0" applyFont="1" applyBorder="1" applyAlignment="1">
      <alignment horizontal="center"/>
    </xf>
    <xf numFmtId="173" fontId="37" fillId="0" borderId="1" xfId="7" applyNumberFormat="1" applyFont="1" applyBorder="1"/>
    <xf numFmtId="173" fontId="36" fillId="16" borderId="1" xfId="7" applyNumberFormat="1" applyFont="1" applyFill="1" applyBorder="1"/>
    <xf numFmtId="173" fontId="37" fillId="16" borderId="1" xfId="0" applyNumberFormat="1" applyFont="1" applyFill="1" applyBorder="1"/>
    <xf numFmtId="173" fontId="36" fillId="0" borderId="1" xfId="7" applyNumberFormat="1" applyFont="1" applyBorder="1"/>
    <xf numFmtId="173" fontId="34" fillId="0" borderId="1" xfId="7" applyNumberFormat="1" applyFont="1" applyBorder="1"/>
    <xf numFmtId="173" fontId="36" fillId="16" borderId="1" xfId="7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left" vertical="center"/>
    </xf>
    <xf numFmtId="0" fontId="0" fillId="0" borderId="1" xfId="0" applyBorder="1"/>
    <xf numFmtId="173" fontId="28" fillId="10" borderId="1" xfId="0" applyNumberFormat="1" applyFont="1" applyFill="1" applyBorder="1"/>
    <xf numFmtId="174" fontId="26" fillId="10" borderId="1" xfId="7" applyNumberFormat="1" applyFont="1" applyFill="1" applyBorder="1" applyAlignment="1">
      <alignment vertical="center"/>
    </xf>
    <xf numFmtId="174" fontId="23" fillId="0" borderId="0" xfId="0" applyNumberFormat="1" applyFont="1" applyAlignment="1">
      <alignment vertical="center"/>
    </xf>
    <xf numFmtId="173" fontId="34" fillId="10" borderId="1" xfId="0" applyNumberFormat="1" applyFont="1" applyFill="1" applyBorder="1" applyAlignment="1">
      <alignment vertical="center"/>
    </xf>
    <xf numFmtId="174" fontId="26" fillId="17" borderId="1" xfId="7" applyNumberFormat="1" applyFont="1" applyFill="1" applyBorder="1" applyAlignment="1">
      <alignment vertical="center"/>
    </xf>
    <xf numFmtId="174" fontId="26" fillId="16" borderId="1" xfId="7" applyNumberFormat="1" applyFont="1" applyFill="1" applyBorder="1" applyAlignment="1">
      <alignment vertical="center"/>
    </xf>
    <xf numFmtId="174" fontId="0" fillId="0" borderId="0" xfId="0" applyNumberFormat="1"/>
    <xf numFmtId="173" fontId="0" fillId="0" borderId="0" xfId="0" applyNumberFormat="1"/>
    <xf numFmtId="164" fontId="0" fillId="0" borderId="0" xfId="0" applyNumberFormat="1"/>
    <xf numFmtId="174" fontId="23" fillId="10" borderId="0" xfId="7" applyNumberFormat="1" applyFont="1" applyFill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174" fontId="40" fillId="0" borderId="0" xfId="7" applyNumberFormat="1" applyFont="1" applyAlignment="1">
      <alignment vertical="center"/>
    </xf>
    <xf numFmtId="173" fontId="41" fillId="0" borderId="1" xfId="7" applyNumberFormat="1" applyFont="1" applyBorder="1" applyAlignment="1">
      <alignment horizontal="center" vertical="center" wrapText="1"/>
    </xf>
    <xf numFmtId="171" fontId="42" fillId="4" borderId="1" xfId="7" applyNumberFormat="1" applyFont="1" applyFill="1" applyBorder="1" applyAlignment="1">
      <alignment vertical="center" wrapText="1"/>
    </xf>
    <xf numFmtId="0" fontId="43" fillId="0" borderId="1" xfId="0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174" fontId="5" fillId="0" borderId="2" xfId="7" applyNumberFormat="1" applyFont="1" applyFill="1" applyBorder="1" applyAlignment="1">
      <alignment horizontal="center" vertical="center" wrapText="1"/>
    </xf>
    <xf numFmtId="174" fontId="40" fillId="0" borderId="1" xfId="7" applyNumberFormat="1" applyFont="1" applyBorder="1" applyAlignment="1">
      <alignment vertical="center"/>
    </xf>
    <xf numFmtId="174" fontId="24" fillId="0" borderId="0" xfId="7" applyNumberFormat="1" applyFont="1" applyAlignment="1">
      <alignment vertical="center"/>
    </xf>
    <xf numFmtId="165" fontId="8" fillId="2" borderId="1" xfId="3" applyNumberFormat="1" applyFont="1" applyFill="1" applyBorder="1" applyAlignment="1">
      <alignment horizontal="center" vertical="center" wrapText="1"/>
    </xf>
    <xf numFmtId="174" fontId="24" fillId="10" borderId="1" xfId="7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171" fontId="42" fillId="3" borderId="1" xfId="7" applyNumberFormat="1" applyFont="1" applyFill="1" applyBorder="1" applyAlignment="1">
      <alignment horizontal="center" vertical="center" wrapText="1"/>
    </xf>
    <xf numFmtId="171" fontId="42" fillId="3" borderId="1" xfId="7" applyNumberFormat="1" applyFont="1" applyFill="1" applyBorder="1" applyAlignment="1">
      <alignment vertical="center" wrapText="1"/>
    </xf>
    <xf numFmtId="173" fontId="36" fillId="0" borderId="1" xfId="7" applyNumberFormat="1" applyFont="1" applyFill="1" applyBorder="1" applyAlignment="1" applyProtection="1">
      <alignment vertical="center"/>
      <protection hidden="1"/>
    </xf>
    <xf numFmtId="165" fontId="34" fillId="5" borderId="1" xfId="3" applyNumberFormat="1" applyFont="1" applyFill="1" applyBorder="1" applyAlignment="1">
      <alignment vertical="center" wrapText="1"/>
    </xf>
    <xf numFmtId="0" fontId="23" fillId="18" borderId="1" xfId="0" applyFont="1" applyFill="1" applyBorder="1" applyAlignment="1">
      <alignment horizontal="center" vertical="center"/>
    </xf>
    <xf numFmtId="174" fontId="40" fillId="18" borderId="1" xfId="7" applyNumberFormat="1" applyFont="1" applyFill="1" applyBorder="1" applyAlignment="1">
      <alignment horizontal="center" vertical="center"/>
    </xf>
    <xf numFmtId="0" fontId="19" fillId="0" borderId="1" xfId="3" applyFont="1" applyBorder="1" applyAlignment="1">
      <alignment horizontal="center" vertical="center" wrapText="1"/>
    </xf>
    <xf numFmtId="174" fontId="24" fillId="5" borderId="1" xfId="7" applyNumberFormat="1" applyFont="1" applyFill="1" applyBorder="1" applyAlignment="1">
      <alignment vertical="center" wrapText="1"/>
    </xf>
    <xf numFmtId="0" fontId="40" fillId="0" borderId="0" xfId="0" applyFont="1" applyAlignment="1">
      <alignment horizontal="center" vertical="center"/>
    </xf>
    <xf numFmtId="171" fontId="40" fillId="0" borderId="0" xfId="7" applyNumberFormat="1" applyFont="1" applyAlignment="1">
      <alignment vertical="center"/>
    </xf>
    <xf numFmtId="165" fontId="8" fillId="0" borderId="1" xfId="3" applyNumberFormat="1" applyFont="1" applyBorder="1" applyAlignment="1">
      <alignment horizontal="center" vertical="center" wrapText="1"/>
    </xf>
    <xf numFmtId="171" fontId="23" fillId="0" borderId="1" xfId="7" applyNumberFormat="1" applyFont="1" applyFill="1" applyBorder="1" applyAlignment="1">
      <alignment vertical="center"/>
    </xf>
    <xf numFmtId="174" fontId="23" fillId="0" borderId="1" xfId="7" applyNumberFormat="1" applyFont="1" applyFill="1" applyBorder="1" applyAlignment="1">
      <alignment vertical="center"/>
    </xf>
    <xf numFmtId="174" fontId="40" fillId="0" borderId="1" xfId="7" applyNumberFormat="1" applyFont="1" applyFill="1" applyBorder="1" applyAlignment="1">
      <alignment vertical="center"/>
    </xf>
    <xf numFmtId="174" fontId="24" fillId="0" borderId="1" xfId="7" applyNumberFormat="1" applyFont="1" applyFill="1" applyBorder="1" applyAlignment="1">
      <alignment vertical="center"/>
    </xf>
    <xf numFmtId="174" fontId="23" fillId="0" borderId="0" xfId="7" applyNumberFormat="1" applyFont="1" applyFill="1" applyAlignment="1">
      <alignment vertical="center"/>
    </xf>
    <xf numFmtId="174" fontId="8" fillId="19" borderId="1" xfId="7" applyNumberFormat="1" applyFont="1" applyFill="1" applyBorder="1" applyAlignment="1">
      <alignment vertical="center"/>
    </xf>
    <xf numFmtId="174" fontId="46" fillId="0" borderId="0" xfId="7" applyNumberFormat="1" applyFont="1" applyAlignment="1">
      <alignment vertical="center"/>
    </xf>
    <xf numFmtId="174" fontId="46" fillId="0" borderId="0" xfId="7" applyNumberFormat="1" applyFont="1" applyAlignment="1">
      <alignment horizontal="center" vertical="center"/>
    </xf>
    <xf numFmtId="171" fontId="46" fillId="0" borderId="0" xfId="7" applyNumberFormat="1" applyFont="1" applyAlignment="1">
      <alignment vertical="center"/>
    </xf>
    <xf numFmtId="174" fontId="47" fillId="0" borderId="0" xfId="7" applyNumberFormat="1" applyFont="1" applyAlignment="1">
      <alignment vertical="center"/>
    </xf>
    <xf numFmtId="174" fontId="48" fillId="0" borderId="0" xfId="7" applyNumberFormat="1" applyFont="1" applyAlignment="1">
      <alignment vertical="center"/>
    </xf>
    <xf numFmtId="0" fontId="46" fillId="0" borderId="0" xfId="0" applyFont="1"/>
    <xf numFmtId="0" fontId="41" fillId="0" borderId="0" xfId="0" applyFont="1" applyAlignment="1">
      <alignment vertical="center"/>
    </xf>
    <xf numFmtId="0" fontId="44" fillId="0" borderId="0" xfId="0" applyFont="1"/>
    <xf numFmtId="173" fontId="44" fillId="0" borderId="0" xfId="7" applyNumberFormat="1" applyFont="1"/>
    <xf numFmtId="0" fontId="47" fillId="0" borderId="0" xfId="0" applyFont="1"/>
    <xf numFmtId="174" fontId="46" fillId="0" borderId="0" xfId="7" applyNumberFormat="1" applyFont="1"/>
    <xf numFmtId="0" fontId="49" fillId="0" borderId="0" xfId="0" applyFont="1" applyAlignment="1">
      <alignment vertical="center"/>
    </xf>
    <xf numFmtId="0" fontId="49" fillId="0" borderId="0" xfId="0" applyFont="1"/>
    <xf numFmtId="174" fontId="52" fillId="3" borderId="1" xfId="7" applyNumberFormat="1" applyFont="1" applyFill="1" applyBorder="1" applyAlignment="1">
      <alignment horizontal="center" vertical="center" wrapText="1"/>
    </xf>
    <xf numFmtId="174" fontId="51" fillId="0" borderId="7" xfId="7" applyNumberFormat="1" applyFont="1" applyFill="1" applyBorder="1" applyAlignment="1">
      <alignment horizontal="center" vertical="center" wrapText="1"/>
    </xf>
    <xf numFmtId="174" fontId="52" fillId="4" borderId="1" xfId="7" applyNumberFormat="1" applyFont="1" applyFill="1" applyBorder="1" applyAlignment="1">
      <alignment vertical="center" wrapText="1"/>
    </xf>
    <xf numFmtId="171" fontId="52" fillId="4" borderId="1" xfId="7" applyNumberFormat="1" applyFont="1" applyFill="1" applyBorder="1" applyAlignment="1">
      <alignment vertical="center" wrapText="1"/>
    </xf>
    <xf numFmtId="174" fontId="52" fillId="3" borderId="1" xfId="7" applyNumberFormat="1" applyFont="1" applyFill="1" applyBorder="1" applyAlignment="1">
      <alignment vertical="center" wrapText="1"/>
    </xf>
    <xf numFmtId="174" fontId="54" fillId="2" borderId="1" xfId="7" applyNumberFormat="1" applyFont="1" applyFill="1" applyBorder="1" applyAlignment="1">
      <alignment horizontal="center" vertical="center" wrapText="1"/>
    </xf>
    <xf numFmtId="174" fontId="55" fillId="0" borderId="1" xfId="7" applyNumberFormat="1" applyFont="1" applyFill="1" applyBorder="1" applyAlignment="1">
      <alignment horizontal="center" vertical="center"/>
    </xf>
    <xf numFmtId="174" fontId="55" fillId="0" borderId="4" xfId="7" applyNumberFormat="1" applyFont="1" applyFill="1" applyBorder="1" applyAlignment="1">
      <alignment vertical="center"/>
    </xf>
    <xf numFmtId="174" fontId="46" fillId="0" borderId="1" xfId="7" applyNumberFormat="1" applyFont="1" applyBorder="1"/>
    <xf numFmtId="171" fontId="46" fillId="0" borderId="1" xfId="7" applyNumberFormat="1" applyFont="1" applyBorder="1"/>
    <xf numFmtId="174" fontId="47" fillId="0" borderId="1" xfId="7" applyNumberFormat="1" applyFont="1" applyBorder="1"/>
    <xf numFmtId="174" fontId="46" fillId="10" borderId="1" xfId="7" applyNumberFormat="1" applyFont="1" applyFill="1" applyBorder="1"/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vertical="center"/>
    </xf>
    <xf numFmtId="0" fontId="55" fillId="0" borderId="0" xfId="0" applyFont="1" applyAlignment="1">
      <alignment horizontal="center" vertical="center"/>
    </xf>
    <xf numFmtId="172" fontId="55" fillId="0" borderId="0" xfId="7" applyNumberFormat="1" applyFont="1" applyBorder="1" applyAlignment="1">
      <alignment horizontal="center" vertical="center"/>
    </xf>
    <xf numFmtId="171" fontId="55" fillId="0" borderId="0" xfId="7" applyNumberFormat="1" applyFont="1" applyBorder="1" applyAlignment="1">
      <alignment vertical="center"/>
    </xf>
    <xf numFmtId="0" fontId="55" fillId="0" borderId="5" xfId="0" applyFont="1" applyBorder="1" applyAlignment="1">
      <alignment horizontal="center" vertical="center"/>
    </xf>
    <xf numFmtId="171" fontId="55" fillId="0" borderId="1" xfId="7" applyNumberFormat="1" applyFont="1" applyBorder="1" applyAlignment="1">
      <alignment horizontal="center" vertical="center"/>
    </xf>
    <xf numFmtId="172" fontId="55" fillId="0" borderId="1" xfId="7" applyNumberFormat="1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171" fontId="55" fillId="0" borderId="0" xfId="7" applyNumberFormat="1" applyFont="1" applyBorder="1" applyAlignment="1">
      <alignment horizontal="center" vertical="center"/>
    </xf>
    <xf numFmtId="174" fontId="46" fillId="0" borderId="6" xfId="7" applyNumberFormat="1" applyFont="1" applyBorder="1"/>
    <xf numFmtId="171" fontId="46" fillId="0" borderId="6" xfId="7" applyNumberFormat="1" applyFont="1" applyBorder="1"/>
    <xf numFmtId="0" fontId="55" fillId="0" borderId="6" xfId="0" applyFont="1" applyBorder="1" applyAlignment="1">
      <alignment horizontal="center" vertical="center"/>
    </xf>
    <xf numFmtId="174" fontId="47" fillId="0" borderId="6" xfId="7" applyNumberFormat="1" applyFont="1" applyBorder="1"/>
    <xf numFmtId="174" fontId="46" fillId="10" borderId="6" xfId="7" applyNumberFormat="1" applyFont="1" applyFill="1" applyBorder="1"/>
    <xf numFmtId="174" fontId="46" fillId="0" borderId="0" xfId="7" applyNumberFormat="1" applyFont="1" applyBorder="1"/>
    <xf numFmtId="16" fontId="55" fillId="0" borderId="0" xfId="1" applyNumberFormat="1" applyFont="1" applyAlignment="1">
      <alignment horizontal="center" vertical="center"/>
    </xf>
    <xf numFmtId="0" fontId="55" fillId="0" borderId="0" xfId="1" applyFont="1" applyAlignment="1">
      <alignment horizontal="center" vertical="center"/>
    </xf>
    <xf numFmtId="0" fontId="55" fillId="0" borderId="19" xfId="1" applyFont="1" applyBorder="1" applyAlignment="1">
      <alignment horizontal="center" vertical="center"/>
    </xf>
    <xf numFmtId="171" fontId="55" fillId="0" borderId="19" xfId="7" applyNumberFormat="1" applyFont="1" applyBorder="1" applyAlignment="1">
      <alignment horizontal="left" vertical="center"/>
    </xf>
    <xf numFmtId="171" fontId="46" fillId="0" borderId="0" xfId="7" applyNumberFormat="1" applyFont="1"/>
    <xf numFmtId="174" fontId="47" fillId="0" borderId="0" xfId="7" applyNumberFormat="1" applyFont="1"/>
    <xf numFmtId="0" fontId="55" fillId="0" borderId="10" xfId="1" applyFont="1" applyBorder="1" applyAlignment="1">
      <alignment horizontal="center" vertical="center"/>
    </xf>
    <xf numFmtId="171" fontId="55" fillId="0" borderId="10" xfId="7" applyNumberFormat="1" applyFont="1" applyBorder="1" applyAlignment="1">
      <alignment horizontal="center" vertical="center"/>
    </xf>
    <xf numFmtId="0" fontId="56" fillId="0" borderId="0" xfId="2" applyFont="1" applyAlignment="1">
      <alignment horizontal="center" vertical="center"/>
    </xf>
    <xf numFmtId="0" fontId="55" fillId="0" borderId="12" xfId="1" applyFont="1" applyBorder="1" applyAlignment="1">
      <alignment horizontal="center" vertical="center"/>
    </xf>
    <xf numFmtId="171" fontId="55" fillId="0" borderId="12" xfId="7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3" fontId="34" fillId="0" borderId="1" xfId="7" applyNumberFormat="1" applyFont="1" applyBorder="1" applyAlignment="1">
      <alignment vertical="center" wrapText="1"/>
    </xf>
    <xf numFmtId="174" fontId="23" fillId="0" borderId="1" xfId="7" applyNumberFormat="1" applyFont="1" applyBorder="1" applyAlignment="1">
      <alignment horizontal="center" vertical="center"/>
    </xf>
    <xf numFmtId="174" fontId="58" fillId="16" borderId="0" xfId="7" applyNumberFormat="1" applyFont="1" applyFill="1"/>
    <xf numFmtId="174" fontId="59" fillId="16" borderId="0" xfId="7" applyNumberFormat="1" applyFont="1" applyFill="1"/>
    <xf numFmtId="0" fontId="60" fillId="0" borderId="0" xfId="0" applyFont="1"/>
    <xf numFmtId="0" fontId="57" fillId="0" borderId="0" xfId="0" applyFont="1"/>
    <xf numFmtId="174" fontId="60" fillId="0" borderId="0" xfId="7" applyNumberFormat="1" applyFont="1"/>
    <xf numFmtId="0" fontId="40" fillId="0" borderId="1" xfId="0" applyFont="1" applyBorder="1" applyAlignment="1">
      <alignment vertical="center"/>
    </xf>
    <xf numFmtId="174" fontId="55" fillId="0" borderId="1" xfId="7" applyNumberFormat="1" applyFont="1" applyFill="1" applyBorder="1" applyAlignment="1">
      <alignment vertical="center"/>
    </xf>
    <xf numFmtId="174" fontId="0" fillId="0" borderId="1" xfId="7" applyNumberFormat="1" applyFont="1" applyBorder="1"/>
    <xf numFmtId="174" fontId="40" fillId="13" borderId="1" xfId="7" applyNumberFormat="1" applyFont="1" applyFill="1" applyBorder="1" applyAlignment="1">
      <alignment vertical="center"/>
    </xf>
    <xf numFmtId="174" fontId="40" fillId="13" borderId="1" xfId="7" applyNumberFormat="1" applyFont="1" applyFill="1" applyBorder="1" applyAlignment="1">
      <alignment horizontal="center" vertical="center"/>
    </xf>
    <xf numFmtId="173" fontId="36" fillId="13" borderId="1" xfId="7" applyNumberFormat="1" applyFont="1" applyFill="1" applyBorder="1" applyAlignment="1" applyProtection="1">
      <alignment vertical="center"/>
      <protection hidden="1"/>
    </xf>
    <xf numFmtId="174" fontId="40" fillId="20" borderId="1" xfId="7" applyNumberFormat="1" applyFont="1" applyFill="1" applyBorder="1" applyAlignment="1">
      <alignment vertical="center"/>
    </xf>
    <xf numFmtId="0" fontId="19" fillId="5" borderId="1" xfId="3" applyFont="1" applyFill="1" applyBorder="1" applyAlignment="1">
      <alignment vertical="center" wrapText="1"/>
    </xf>
    <xf numFmtId="0" fontId="19" fillId="13" borderId="1" xfId="3" applyFont="1" applyFill="1" applyBorder="1" applyAlignment="1">
      <alignment vertical="center" wrapText="1"/>
    </xf>
    <xf numFmtId="0" fontId="40" fillId="20" borderId="1" xfId="0" applyFont="1" applyFill="1" applyBorder="1" applyAlignment="1">
      <alignment vertical="center"/>
    </xf>
    <xf numFmtId="174" fontId="24" fillId="13" borderId="1" xfId="7" applyNumberFormat="1" applyFont="1" applyFill="1" applyBorder="1" applyAlignment="1">
      <alignment vertical="center" wrapText="1"/>
    </xf>
    <xf numFmtId="165" fontId="34" fillId="13" borderId="1" xfId="3" applyNumberFormat="1" applyFont="1" applyFill="1" applyBorder="1" applyAlignment="1">
      <alignment vertical="center"/>
    </xf>
    <xf numFmtId="165" fontId="34" fillId="13" borderId="1" xfId="3" applyNumberFormat="1" applyFont="1" applyFill="1" applyBorder="1" applyAlignment="1">
      <alignment vertical="center" wrapText="1"/>
    </xf>
    <xf numFmtId="0" fontId="40" fillId="13" borderId="1" xfId="0" applyFont="1" applyFill="1" applyBorder="1" applyAlignment="1">
      <alignment vertical="center"/>
    </xf>
    <xf numFmtId="165" fontId="34" fillId="5" borderId="1" xfId="3" applyNumberFormat="1" applyFont="1" applyFill="1" applyBorder="1" applyAlignment="1">
      <alignment vertical="center"/>
    </xf>
    <xf numFmtId="174" fontId="33" fillId="0" borderId="0" xfId="7" applyNumberFormat="1" applyFont="1"/>
    <xf numFmtId="174" fontId="34" fillId="0" borderId="1" xfId="7" applyNumberFormat="1" applyFont="1" applyBorder="1" applyAlignment="1">
      <alignment horizontal="center" vertical="center" wrapText="1"/>
    </xf>
    <xf numFmtId="174" fontId="36" fillId="0" borderId="1" xfId="7" applyNumberFormat="1" applyFont="1" applyFill="1" applyBorder="1" applyAlignment="1" applyProtection="1">
      <alignment vertical="center"/>
      <protection hidden="1"/>
    </xf>
    <xf numFmtId="174" fontId="37" fillId="0" borderId="1" xfId="7" applyNumberFormat="1" applyFont="1" applyBorder="1"/>
    <xf numFmtId="175" fontId="0" fillId="0" borderId="0" xfId="0" applyNumberFormat="1"/>
    <xf numFmtId="0" fontId="63" fillId="0" borderId="0" xfId="0" applyFont="1"/>
    <xf numFmtId="176" fontId="65" fillId="0" borderId="20" xfId="0" applyNumberFormat="1" applyFont="1" applyBorder="1"/>
    <xf numFmtId="176" fontId="65" fillId="0" borderId="0" xfId="0" applyNumberFormat="1" applyFont="1"/>
    <xf numFmtId="167" fontId="0" fillId="0" borderId="22" xfId="0" applyNumberFormat="1" applyBorder="1"/>
    <xf numFmtId="0" fontId="0" fillId="0" borderId="20" xfId="0" applyBorder="1" applyAlignment="1">
      <alignment horizontal="center"/>
    </xf>
    <xf numFmtId="0" fontId="0" fillId="0" borderId="20" xfId="0" applyBorder="1"/>
    <xf numFmtId="0" fontId="67" fillId="0" borderId="26" xfId="0" applyFont="1" applyBorder="1" applyAlignment="1">
      <alignment horizontal="center" vertical="center"/>
    </xf>
    <xf numFmtId="0" fontId="67" fillId="0" borderId="27" xfId="0" applyFont="1" applyBorder="1" applyAlignment="1">
      <alignment horizontal="center" vertical="center" wrapText="1"/>
    </xf>
    <xf numFmtId="0" fontId="0" fillId="0" borderId="30" xfId="0" applyBorder="1"/>
    <xf numFmtId="0" fontId="69" fillId="0" borderId="0" xfId="0" applyFont="1"/>
    <xf numFmtId="0" fontId="70" fillId="0" borderId="0" xfId="0" applyFont="1"/>
    <xf numFmtId="0" fontId="0" fillId="0" borderId="35" xfId="0" applyBorder="1"/>
    <xf numFmtId="0" fontId="0" fillId="0" borderId="2" xfId="0" applyBorder="1"/>
    <xf numFmtId="0" fontId="69" fillId="0" borderId="2" xfId="0" applyFont="1" applyBorder="1"/>
    <xf numFmtId="0" fontId="0" fillId="21" borderId="30" xfId="0" applyFill="1" applyBorder="1"/>
    <xf numFmtId="0" fontId="0" fillId="21" borderId="0" xfId="0" applyFill="1"/>
    <xf numFmtId="0" fontId="71" fillId="21" borderId="0" xfId="0" applyFont="1" applyFill="1"/>
    <xf numFmtId="0" fontId="69" fillId="21" borderId="0" xfId="0" applyFont="1" applyFill="1"/>
    <xf numFmtId="0" fontId="0" fillId="21" borderId="35" xfId="0" applyFill="1" applyBorder="1"/>
    <xf numFmtId="0" fontId="0" fillId="21" borderId="2" xfId="0" applyFill="1" applyBorder="1"/>
    <xf numFmtId="0" fontId="71" fillId="21" borderId="2" xfId="0" applyFont="1" applyFill="1" applyBorder="1"/>
    <xf numFmtId="0" fontId="72" fillId="21" borderId="0" xfId="0" applyFont="1" applyFill="1"/>
    <xf numFmtId="0" fontId="69" fillId="21" borderId="2" xfId="0" applyFont="1" applyFill="1" applyBorder="1"/>
    <xf numFmtId="0" fontId="73" fillId="21" borderId="0" xfId="0" applyFont="1" applyFill="1"/>
    <xf numFmtId="0" fontId="71" fillId="0" borderId="0" xfId="0" applyFont="1"/>
    <xf numFmtId="0" fontId="0" fillId="22" borderId="0" xfId="0" applyFill="1"/>
    <xf numFmtId="0" fontId="0" fillId="11" borderId="30" xfId="0" applyFill="1" applyBorder="1"/>
    <xf numFmtId="0" fontId="0" fillId="11" borderId="0" xfId="0" applyFill="1"/>
    <xf numFmtId="0" fontId="69" fillId="11" borderId="0" xfId="0" applyFont="1" applyFill="1"/>
    <xf numFmtId="0" fontId="0" fillId="0" borderId="3" xfId="0" applyBorder="1"/>
    <xf numFmtId="164" fontId="0" fillId="0" borderId="3" xfId="0" applyNumberFormat="1" applyBorder="1"/>
    <xf numFmtId="0" fontId="69" fillId="0" borderId="3" xfId="0" applyFont="1" applyBorder="1"/>
    <xf numFmtId="0" fontId="71" fillId="0" borderId="3" xfId="0" applyFont="1" applyBorder="1"/>
    <xf numFmtId="0" fontId="61" fillId="0" borderId="0" xfId="0" applyFont="1" applyAlignment="1">
      <alignment vertical="center"/>
    </xf>
    <xf numFmtId="0" fontId="0" fillId="0" borderId="0" xfId="0" applyAlignment="1">
      <alignment vertical="center"/>
    </xf>
    <xf numFmtId="174" fontId="0" fillId="0" borderId="0" xfId="7" applyNumberFormat="1" applyFont="1" applyFill="1"/>
    <xf numFmtId="174" fontId="63" fillId="0" borderId="0" xfId="7" applyNumberFormat="1" applyFont="1"/>
    <xf numFmtId="174" fontId="65" fillId="0" borderId="0" xfId="7" applyNumberFormat="1" applyFont="1"/>
    <xf numFmtId="174" fontId="65" fillId="0" borderId="20" xfId="7" applyNumberFormat="1" applyFont="1" applyBorder="1"/>
    <xf numFmtId="174" fontId="67" fillId="0" borderId="28" xfId="7" applyNumberFormat="1" applyFont="1" applyBorder="1" applyAlignment="1">
      <alignment horizontal="center" vertical="center"/>
    </xf>
    <xf numFmtId="174" fontId="67" fillId="0" borderId="5" xfId="7" applyNumberFormat="1" applyFont="1" applyBorder="1" applyAlignment="1">
      <alignment horizontal="center" vertical="center" wrapText="1"/>
    </xf>
    <xf numFmtId="174" fontId="67" fillId="0" borderId="1" xfId="7" applyNumberFormat="1" applyFont="1" applyBorder="1" applyAlignment="1">
      <alignment horizontal="center" vertical="center"/>
    </xf>
    <xf numFmtId="174" fontId="67" fillId="0" borderId="29" xfId="7" applyNumberFormat="1" applyFont="1" applyFill="1" applyBorder="1" applyAlignment="1">
      <alignment horizontal="center" wrapText="1"/>
    </xf>
    <xf numFmtId="174" fontId="67" fillId="0" borderId="27" xfId="7" applyNumberFormat="1" applyFont="1" applyBorder="1" applyAlignment="1">
      <alignment wrapText="1"/>
    </xf>
    <xf numFmtId="174" fontId="68" fillId="0" borderId="28" xfId="7" applyNumberFormat="1" applyFont="1" applyBorder="1" applyAlignment="1">
      <alignment wrapText="1"/>
    </xf>
    <xf numFmtId="174" fontId="0" fillId="0" borderId="3" xfId="7" applyNumberFormat="1" applyFont="1" applyBorder="1"/>
    <xf numFmtId="174" fontId="69" fillId="0" borderId="3" xfId="7" applyNumberFormat="1" applyFont="1" applyBorder="1"/>
    <xf numFmtId="174" fontId="69" fillId="0" borderId="3" xfId="7" applyNumberFormat="1" applyFont="1" applyFill="1" applyBorder="1"/>
    <xf numFmtId="174" fontId="71" fillId="0" borderId="3" xfId="7" applyNumberFormat="1" applyFont="1" applyBorder="1"/>
    <xf numFmtId="174" fontId="71" fillId="0" borderId="3" xfId="7" applyNumberFormat="1" applyFont="1" applyFill="1" applyBorder="1"/>
    <xf numFmtId="173" fontId="41" fillId="0" borderId="1" xfId="7" applyNumberFormat="1" applyFont="1" applyBorder="1" applyAlignment="1">
      <alignment vertical="center" wrapText="1"/>
    </xf>
    <xf numFmtId="174" fontId="41" fillId="0" borderId="1" xfId="7" applyNumberFormat="1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174" fontId="40" fillId="0" borderId="1" xfId="7" applyNumberFormat="1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174" fontId="40" fillId="10" borderId="1" xfId="7" applyNumberFormat="1" applyFont="1" applyFill="1" applyBorder="1" applyAlignment="1">
      <alignment vertical="center"/>
    </xf>
    <xf numFmtId="3" fontId="12" fillId="0" borderId="17" xfId="1" applyNumberFormat="1" applyFont="1" applyBorder="1" applyAlignment="1">
      <alignment vertical="center"/>
    </xf>
    <xf numFmtId="0" fontId="14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165" fontId="29" fillId="2" borderId="4" xfId="3" applyNumberFormat="1" applyFont="1" applyFill="1" applyBorder="1" applyAlignment="1">
      <alignment horizontal="center" vertical="center"/>
    </xf>
    <xf numFmtId="165" fontId="6" fillId="2" borderId="3" xfId="3" applyNumberFormat="1" applyFont="1" applyFill="1" applyBorder="1" applyAlignment="1">
      <alignment horizontal="center" vertical="center"/>
    </xf>
    <xf numFmtId="165" fontId="6" fillId="2" borderId="5" xfId="3" applyNumberFormat="1" applyFont="1" applyFill="1" applyBorder="1" applyAlignment="1">
      <alignment horizontal="center" vertical="center"/>
    </xf>
    <xf numFmtId="165" fontId="29" fillId="2" borderId="4" xfId="3" applyNumberFormat="1" applyFont="1" applyFill="1" applyBorder="1" applyAlignment="1">
      <alignment horizontal="center" vertical="center" wrapText="1"/>
    </xf>
    <xf numFmtId="165" fontId="6" fillId="2" borderId="3" xfId="3" applyNumberFormat="1" applyFont="1" applyFill="1" applyBorder="1" applyAlignment="1">
      <alignment horizontal="center" vertical="center" wrapText="1"/>
    </xf>
    <xf numFmtId="165" fontId="6" fillId="2" borderId="5" xfId="3" applyNumberFormat="1" applyFont="1" applyFill="1" applyBorder="1" applyAlignment="1">
      <alignment horizontal="center" vertical="center" wrapText="1"/>
    </xf>
    <xf numFmtId="165" fontId="29" fillId="2" borderId="14" xfId="3" applyNumberFormat="1" applyFont="1" applyFill="1" applyBorder="1" applyAlignment="1">
      <alignment horizontal="center" vertical="center" wrapText="1"/>
    </xf>
    <xf numFmtId="165" fontId="6" fillId="2" borderId="15" xfId="3" applyNumberFormat="1" applyFont="1" applyFill="1" applyBorder="1" applyAlignment="1">
      <alignment horizontal="center" vertical="center" wrapText="1"/>
    </xf>
    <xf numFmtId="165" fontId="6" fillId="2" borderId="16" xfId="3" applyNumberFormat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center" vertical="center" wrapText="1"/>
    </xf>
    <xf numFmtId="167" fontId="5" fillId="0" borderId="4" xfId="3" applyNumberFormat="1" applyFont="1" applyBorder="1" applyAlignment="1">
      <alignment horizontal="center" vertical="center" wrapText="1"/>
    </xf>
    <xf numFmtId="167" fontId="5" fillId="0" borderId="3" xfId="3" applyNumberFormat="1" applyFont="1" applyBorder="1" applyAlignment="1">
      <alignment horizontal="center" vertical="center" wrapText="1"/>
    </xf>
    <xf numFmtId="167" fontId="5" fillId="0" borderId="5" xfId="3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5" fillId="0" borderId="6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174" fontId="5" fillId="0" borderId="17" xfId="7" applyNumberFormat="1" applyFont="1" applyFill="1" applyBorder="1" applyAlignment="1">
      <alignment horizontal="center" vertical="center" wrapText="1"/>
    </xf>
    <xf numFmtId="174" fontId="5" fillId="0" borderId="7" xfId="7" applyNumberFormat="1" applyFont="1" applyFill="1" applyBorder="1" applyAlignment="1">
      <alignment horizontal="center" vertical="center" wrapText="1"/>
    </xf>
    <xf numFmtId="174" fontId="5" fillId="0" borderId="6" xfId="7" applyNumberFormat="1" applyFont="1" applyFill="1" applyBorder="1" applyAlignment="1">
      <alignment horizontal="center" vertical="center" wrapText="1"/>
    </xf>
    <xf numFmtId="171" fontId="8" fillId="4" borderId="1" xfId="7" applyNumberFormat="1" applyFont="1" applyFill="1" applyBorder="1" applyAlignment="1">
      <alignment horizontal="center" vertical="center" wrapText="1"/>
    </xf>
    <xf numFmtId="171" fontId="8" fillId="3" borderId="1" xfId="7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65" fontId="30" fillId="5" borderId="4" xfId="3" applyNumberFormat="1" applyFont="1" applyFill="1" applyBorder="1" applyAlignment="1">
      <alignment horizontal="left" vertical="center" wrapText="1"/>
    </xf>
    <xf numFmtId="165" fontId="30" fillId="5" borderId="3" xfId="3" applyNumberFormat="1" applyFont="1" applyFill="1" applyBorder="1" applyAlignment="1">
      <alignment horizontal="left" vertical="center" wrapText="1"/>
    </xf>
    <xf numFmtId="165" fontId="30" fillId="5" borderId="5" xfId="3" applyNumberFormat="1" applyFont="1" applyFill="1" applyBorder="1" applyAlignment="1">
      <alignment horizontal="left" vertical="center" wrapText="1"/>
    </xf>
    <xf numFmtId="165" fontId="30" fillId="5" borderId="4" xfId="3" applyNumberFormat="1" applyFont="1" applyFill="1" applyBorder="1" applyAlignment="1">
      <alignment horizontal="left" vertical="center"/>
    </xf>
    <xf numFmtId="165" fontId="30" fillId="5" borderId="3" xfId="3" applyNumberFormat="1" applyFont="1" applyFill="1" applyBorder="1" applyAlignment="1">
      <alignment horizontal="left" vertical="center"/>
    </xf>
    <xf numFmtId="165" fontId="30" fillId="5" borderId="5" xfId="3" applyNumberFormat="1" applyFont="1" applyFill="1" applyBorder="1" applyAlignment="1">
      <alignment horizontal="left" vertical="center"/>
    </xf>
    <xf numFmtId="0" fontId="26" fillId="5" borderId="4" xfId="3" applyFont="1" applyFill="1" applyBorder="1" applyAlignment="1">
      <alignment horizontal="left" vertical="center" wrapText="1"/>
    </xf>
    <xf numFmtId="0" fontId="26" fillId="5" borderId="3" xfId="3" applyFont="1" applyFill="1" applyBorder="1" applyAlignment="1">
      <alignment horizontal="left" vertical="center" wrapText="1"/>
    </xf>
    <xf numFmtId="0" fontId="26" fillId="5" borderId="5" xfId="3" applyFont="1" applyFill="1" applyBorder="1" applyAlignment="1">
      <alignment horizontal="left" vertical="center" wrapText="1"/>
    </xf>
    <xf numFmtId="174" fontId="40" fillId="0" borderId="6" xfId="7" applyNumberFormat="1" applyFont="1" applyBorder="1" applyAlignment="1">
      <alignment horizontal="center" vertical="center" wrapText="1"/>
    </xf>
    <xf numFmtId="174" fontId="40" fillId="0" borderId="17" xfId="7" applyNumberFormat="1" applyFont="1" applyBorder="1" applyAlignment="1">
      <alignment horizontal="center" vertical="center" wrapText="1"/>
    </xf>
    <xf numFmtId="174" fontId="23" fillId="0" borderId="6" xfId="7" applyNumberFormat="1" applyFont="1" applyBorder="1" applyAlignment="1">
      <alignment horizontal="center" vertical="center" wrapText="1"/>
    </xf>
    <xf numFmtId="174" fontId="23" fillId="0" borderId="17" xfId="7" applyNumberFormat="1" applyFont="1" applyBorder="1" applyAlignment="1">
      <alignment horizontal="center" vertical="center" wrapText="1"/>
    </xf>
    <xf numFmtId="174" fontId="23" fillId="0" borderId="7" xfId="7" applyNumberFormat="1" applyFont="1" applyBorder="1" applyAlignment="1">
      <alignment horizontal="center" vertical="center" wrapText="1"/>
    </xf>
    <xf numFmtId="174" fontId="26" fillId="0" borderId="6" xfId="7" applyNumberFormat="1" applyFont="1" applyBorder="1" applyAlignment="1">
      <alignment horizontal="center" vertical="center" wrapText="1"/>
    </xf>
    <xf numFmtId="174" fontId="26" fillId="0" borderId="17" xfId="7" applyNumberFormat="1" applyFont="1" applyBorder="1" applyAlignment="1">
      <alignment horizontal="center" vertical="center" wrapText="1"/>
    </xf>
    <xf numFmtId="174" fontId="26" fillId="0" borderId="7" xfId="7" applyNumberFormat="1" applyFont="1" applyBorder="1" applyAlignment="1">
      <alignment horizontal="center" vertical="center" wrapText="1"/>
    </xf>
    <xf numFmtId="174" fontId="23" fillId="0" borderId="4" xfId="7" applyNumberFormat="1" applyFont="1" applyBorder="1" applyAlignment="1">
      <alignment horizontal="center" vertical="center"/>
    </xf>
    <xf numFmtId="174" fontId="23" fillId="0" borderId="3" xfId="7" applyNumberFormat="1" applyFont="1" applyBorder="1" applyAlignment="1">
      <alignment horizontal="center" vertical="center"/>
    </xf>
    <xf numFmtId="174" fontId="23" fillId="0" borderId="5" xfId="7" applyNumberFormat="1" applyFont="1" applyBorder="1" applyAlignment="1">
      <alignment horizontal="center" vertical="center"/>
    </xf>
    <xf numFmtId="174" fontId="23" fillId="0" borderId="6" xfId="7" applyNumberFormat="1" applyFont="1" applyBorder="1" applyAlignment="1">
      <alignment horizontal="center" vertical="center"/>
    </xf>
    <xf numFmtId="174" fontId="23" fillId="0" borderId="7" xfId="7" applyNumberFormat="1" applyFont="1" applyBorder="1" applyAlignment="1">
      <alignment horizontal="center" vertical="center"/>
    </xf>
    <xf numFmtId="174" fontId="23" fillId="0" borderId="1" xfId="7" applyNumberFormat="1" applyFont="1" applyBorder="1" applyAlignment="1">
      <alignment horizontal="center" vertical="center"/>
    </xf>
    <xf numFmtId="174" fontId="24" fillId="12" borderId="14" xfId="7" applyNumberFormat="1" applyFont="1" applyFill="1" applyBorder="1" applyAlignment="1">
      <alignment horizontal="center" vertical="center"/>
    </xf>
    <xf numFmtId="174" fontId="24" fillId="12" borderId="15" xfId="7" applyNumberFormat="1" applyFont="1" applyFill="1" applyBorder="1" applyAlignment="1">
      <alignment horizontal="center" vertical="center"/>
    </xf>
    <xf numFmtId="174" fontId="24" fillId="12" borderId="16" xfId="7" applyNumberFormat="1" applyFont="1" applyFill="1" applyBorder="1" applyAlignment="1">
      <alignment horizontal="center" vertical="center"/>
    </xf>
    <xf numFmtId="174" fontId="23" fillId="0" borderId="17" xfId="7" applyNumberFormat="1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173" fontId="34" fillId="0" borderId="6" xfId="7" applyNumberFormat="1" applyFont="1" applyBorder="1" applyAlignment="1">
      <alignment horizontal="center" vertical="center" wrapText="1"/>
    </xf>
    <xf numFmtId="173" fontId="34" fillId="0" borderId="7" xfId="7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9" fillId="0" borderId="3" xfId="0" applyFont="1" applyBorder="1" applyAlignment="1">
      <alignment horizontal="center"/>
    </xf>
    <xf numFmtId="0" fontId="7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74" fontId="0" fillId="0" borderId="17" xfId="7" applyNumberFormat="1" applyFont="1" applyFill="1" applyBorder="1" applyAlignment="1">
      <alignment horizontal="center"/>
    </xf>
    <xf numFmtId="174" fontId="0" fillId="0" borderId="7" xfId="7" applyNumberFormat="1" applyFont="1" applyFill="1" applyBorder="1" applyAlignment="1">
      <alignment horizontal="center"/>
    </xf>
    <xf numFmtId="174" fontId="67" fillId="0" borderId="34" xfId="7" applyNumberFormat="1" applyFont="1" applyFill="1" applyBorder="1" applyAlignment="1">
      <alignment horizontal="center"/>
    </xf>
    <xf numFmtId="174" fontId="67" fillId="0" borderId="38" xfId="7" applyNumberFormat="1" applyFont="1" applyFill="1" applyBorder="1" applyAlignment="1">
      <alignment horizontal="center"/>
    </xf>
    <xf numFmtId="174" fontId="0" fillId="0" borderId="1" xfId="7" applyNumberFormat="1" applyFont="1" applyFill="1" applyBorder="1" applyAlignment="1">
      <alignment horizontal="center"/>
    </xf>
    <xf numFmtId="174" fontId="0" fillId="0" borderId="32" xfId="7" applyNumberFormat="1" applyFont="1" applyFill="1" applyBorder="1" applyAlignment="1">
      <alignment horizontal="center"/>
    </xf>
    <xf numFmtId="174" fontId="0" fillId="0" borderId="37" xfId="7" applyNumberFormat="1" applyFont="1" applyFill="1" applyBorder="1" applyAlignment="1">
      <alignment horizontal="center"/>
    </xf>
    <xf numFmtId="174" fontId="0" fillId="0" borderId="33" xfId="7" applyNumberFormat="1" applyFont="1" applyFill="1" applyBorder="1" applyAlignment="1">
      <alignment horizontal="center"/>
    </xf>
    <xf numFmtId="174" fontId="0" fillId="0" borderId="31" xfId="7" applyNumberFormat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0" xfId="0" applyBorder="1" applyAlignment="1">
      <alignment vertical="center"/>
    </xf>
    <xf numFmtId="0" fontId="0" fillId="0" borderId="35" xfId="0" applyBorder="1" applyAlignment="1">
      <alignment vertical="center"/>
    </xf>
    <xf numFmtId="166" fontId="0" fillId="0" borderId="31" xfId="7" applyFont="1" applyFill="1" applyBorder="1" applyAlignment="1">
      <alignment horizontal="center"/>
    </xf>
    <xf numFmtId="166" fontId="0" fillId="0" borderId="36" xfId="7" applyFont="1" applyFill="1" applyBorder="1" applyAlignment="1">
      <alignment horizontal="center"/>
    </xf>
    <xf numFmtId="166" fontId="0" fillId="0" borderId="7" xfId="7" applyFont="1" applyFill="1" applyBorder="1" applyAlignment="1">
      <alignment horizontal="center"/>
    </xf>
    <xf numFmtId="166" fontId="0" fillId="0" borderId="1" xfId="7" applyFont="1" applyFill="1" applyBorder="1" applyAlignment="1">
      <alignment horizontal="center"/>
    </xf>
    <xf numFmtId="174" fontId="0" fillId="21" borderId="17" xfId="7" applyNumberFormat="1" applyFont="1" applyFill="1" applyBorder="1" applyAlignment="1">
      <alignment horizontal="center"/>
    </xf>
    <xf numFmtId="174" fontId="0" fillId="21" borderId="7" xfId="7" applyNumberFormat="1" applyFont="1" applyFill="1" applyBorder="1" applyAlignment="1">
      <alignment horizontal="center"/>
    </xf>
    <xf numFmtId="174" fontId="67" fillId="21" borderId="34" xfId="7" applyNumberFormat="1" applyFont="1" applyFill="1" applyBorder="1" applyAlignment="1">
      <alignment horizontal="center"/>
    </xf>
    <xf numFmtId="174" fontId="67" fillId="21" borderId="38" xfId="7" applyNumberFormat="1" applyFont="1" applyFill="1" applyBorder="1" applyAlignment="1">
      <alignment horizontal="center"/>
    </xf>
    <xf numFmtId="174" fontId="0" fillId="21" borderId="1" xfId="7" applyNumberFormat="1" applyFont="1" applyFill="1" applyBorder="1" applyAlignment="1">
      <alignment horizontal="center"/>
    </xf>
    <xf numFmtId="174" fontId="0" fillId="21" borderId="32" xfId="7" applyNumberFormat="1" applyFont="1" applyFill="1" applyBorder="1" applyAlignment="1">
      <alignment horizontal="center"/>
    </xf>
    <xf numFmtId="174" fontId="0" fillId="21" borderId="37" xfId="7" applyNumberFormat="1" applyFont="1" applyFill="1" applyBorder="1" applyAlignment="1">
      <alignment horizontal="center"/>
    </xf>
    <xf numFmtId="174" fontId="0" fillId="21" borderId="33" xfId="7" applyNumberFormat="1" applyFont="1" applyFill="1" applyBorder="1" applyAlignment="1">
      <alignment horizontal="center"/>
    </xf>
    <xf numFmtId="174" fontId="0" fillId="21" borderId="31" xfId="7" applyNumberFormat="1" applyFont="1" applyFill="1" applyBorder="1" applyAlignment="1">
      <alignment horizontal="center"/>
    </xf>
    <xf numFmtId="0" fontId="0" fillId="21" borderId="30" xfId="0" applyFill="1" applyBorder="1" applyAlignment="1">
      <alignment horizontal="center"/>
    </xf>
    <xf numFmtId="0" fontId="0" fillId="21" borderId="35" xfId="0" applyFill="1" applyBorder="1" applyAlignment="1">
      <alignment horizontal="center"/>
    </xf>
    <xf numFmtId="0" fontId="0" fillId="21" borderId="30" xfId="0" applyFill="1" applyBorder="1" applyAlignment="1">
      <alignment vertical="center"/>
    </xf>
    <xf numFmtId="0" fontId="0" fillId="21" borderId="35" xfId="0" applyFill="1" applyBorder="1" applyAlignment="1">
      <alignment vertical="center"/>
    </xf>
    <xf numFmtId="166" fontId="0" fillId="21" borderId="31" xfId="7" applyFont="1" applyFill="1" applyBorder="1" applyAlignment="1">
      <alignment horizontal="center"/>
    </xf>
    <xf numFmtId="166" fontId="0" fillId="21" borderId="36" xfId="7" applyFont="1" applyFill="1" applyBorder="1" applyAlignment="1">
      <alignment horizontal="center"/>
    </xf>
    <xf numFmtId="166" fontId="0" fillId="21" borderId="7" xfId="7" applyFont="1" applyFill="1" applyBorder="1" applyAlignment="1">
      <alignment horizontal="center"/>
    </xf>
    <xf numFmtId="166" fontId="0" fillId="21" borderId="1" xfId="7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6" fillId="0" borderId="6" xfId="0" applyFont="1" applyBorder="1" applyAlignment="1">
      <alignment horizontal="center"/>
    </xf>
    <xf numFmtId="0" fontId="66" fillId="0" borderId="1" xfId="0" applyFont="1" applyBorder="1" applyAlignment="1">
      <alignment horizontal="center"/>
    </xf>
    <xf numFmtId="174" fontId="66" fillId="0" borderId="23" xfId="7" applyNumberFormat="1" applyFont="1" applyBorder="1" applyAlignment="1">
      <alignment horizontal="center"/>
    </xf>
    <xf numFmtId="174" fontId="66" fillId="0" borderId="24" xfId="7" applyNumberFormat="1" applyFont="1" applyBorder="1" applyAlignment="1">
      <alignment horizont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76" fontId="64" fillId="0" borderId="20" xfId="0" applyNumberFormat="1" applyFont="1" applyBorder="1" applyAlignment="1">
      <alignment horizontal="center"/>
    </xf>
    <xf numFmtId="176" fontId="65" fillId="0" borderId="20" xfId="0" applyNumberFormat="1" applyFont="1" applyBorder="1" applyAlignment="1">
      <alignment horizontal="center"/>
    </xf>
    <xf numFmtId="174" fontId="40" fillId="0" borderId="1" xfId="7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1" xfId="3" applyFont="1" applyBorder="1" applyAlignment="1">
      <alignment horizontal="center" vertical="center" wrapText="1"/>
    </xf>
    <xf numFmtId="174" fontId="42" fillId="0" borderId="1" xfId="7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174" fontId="40" fillId="0" borderId="1" xfId="7" applyNumberFormat="1" applyFont="1" applyBorder="1" applyAlignment="1">
      <alignment horizontal="center" vertical="center" wrapText="1"/>
    </xf>
    <xf numFmtId="171" fontId="42" fillId="4" borderId="1" xfId="7" applyNumberFormat="1" applyFont="1" applyFill="1" applyBorder="1" applyAlignment="1">
      <alignment horizontal="center" vertical="center" wrapText="1"/>
    </xf>
    <xf numFmtId="171" fontId="42" fillId="3" borderId="1" xfId="7" applyNumberFormat="1" applyFont="1" applyFill="1" applyBorder="1" applyAlignment="1">
      <alignment horizontal="center" vertical="center" wrapText="1"/>
    </xf>
    <xf numFmtId="174" fontId="40" fillId="12" borderId="1" xfId="7" applyNumberFormat="1" applyFont="1" applyFill="1" applyBorder="1" applyAlignment="1">
      <alignment horizontal="center" vertical="center"/>
    </xf>
    <xf numFmtId="174" fontId="40" fillId="0" borderId="0" xfId="7" applyNumberFormat="1" applyFont="1" applyAlignment="1">
      <alignment horizontal="center" vertical="center"/>
    </xf>
    <xf numFmtId="174" fontId="24" fillId="5" borderId="1" xfId="7" applyNumberFormat="1" applyFont="1" applyFill="1" applyBorder="1" applyAlignment="1">
      <alignment horizontal="center" vertical="center" wrapText="1"/>
    </xf>
    <xf numFmtId="165" fontId="34" fillId="5" borderId="1" xfId="3" applyNumberFormat="1" applyFont="1" applyFill="1" applyBorder="1" applyAlignment="1">
      <alignment horizontal="center" vertical="center"/>
    </xf>
    <xf numFmtId="165" fontId="34" fillId="5" borderId="1" xfId="3" applyNumberFormat="1" applyFont="1" applyFill="1" applyBorder="1" applyAlignment="1">
      <alignment horizontal="center" vertical="center" wrapText="1"/>
    </xf>
    <xf numFmtId="0" fontId="40" fillId="18" borderId="1" xfId="0" applyFont="1" applyFill="1" applyBorder="1" applyAlignment="1">
      <alignment horizontal="center" vertical="center"/>
    </xf>
    <xf numFmtId="174" fontId="47" fillId="0" borderId="1" xfId="7" applyNumberFormat="1" applyFont="1" applyBorder="1" applyAlignment="1">
      <alignment horizontal="center" vertical="center" wrapText="1"/>
    </xf>
    <xf numFmtId="174" fontId="47" fillId="0" borderId="1" xfId="7" applyNumberFormat="1" applyFont="1" applyBorder="1" applyAlignment="1">
      <alignment horizontal="center" vertical="center"/>
    </xf>
    <xf numFmtId="174" fontId="48" fillId="0" borderId="1" xfId="7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174" fontId="51" fillId="0" borderId="6" xfId="7" applyNumberFormat="1" applyFont="1" applyFill="1" applyBorder="1" applyAlignment="1">
      <alignment horizontal="center" vertical="center" wrapText="1"/>
    </xf>
    <xf numFmtId="174" fontId="51" fillId="0" borderId="17" xfId="7" applyNumberFormat="1" applyFont="1" applyFill="1" applyBorder="1" applyAlignment="1">
      <alignment horizontal="center" vertical="center" wrapText="1"/>
    </xf>
    <xf numFmtId="174" fontId="51" fillId="0" borderId="7" xfId="7" applyNumberFormat="1" applyFont="1" applyFill="1" applyBorder="1" applyAlignment="1">
      <alignment horizontal="center" vertical="center" wrapText="1"/>
    </xf>
    <xf numFmtId="174" fontId="52" fillId="3" borderId="1" xfId="7" applyNumberFormat="1" applyFont="1" applyFill="1" applyBorder="1" applyAlignment="1">
      <alignment horizontal="center" vertical="center" wrapText="1"/>
    </xf>
    <xf numFmtId="174" fontId="52" fillId="4" borderId="1" xfId="7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174" fontId="47" fillId="0" borderId="1" xfId="7" applyNumberFormat="1" applyFont="1" applyBorder="1" applyAlignment="1">
      <alignment horizontal="center"/>
    </xf>
    <xf numFmtId="174" fontId="47" fillId="12" borderId="1" xfId="7" applyNumberFormat="1" applyFont="1" applyFill="1" applyBorder="1" applyAlignment="1">
      <alignment horizontal="center" vertical="center"/>
    </xf>
    <xf numFmtId="174" fontId="41" fillId="0" borderId="6" xfId="7" applyNumberFormat="1" applyFont="1" applyBorder="1" applyAlignment="1">
      <alignment horizontal="center" vertical="center" wrapText="1"/>
    </xf>
    <xf numFmtId="174" fontId="41" fillId="0" borderId="17" xfId="7" applyNumberFormat="1" applyFont="1" applyBorder="1" applyAlignment="1">
      <alignment horizontal="center" vertical="center" wrapText="1"/>
    </xf>
    <xf numFmtId="174" fontId="41" fillId="0" borderId="7" xfId="7" applyNumberFormat="1" applyFont="1" applyBorder="1" applyAlignment="1">
      <alignment horizontal="center" vertical="center" wrapText="1"/>
    </xf>
    <xf numFmtId="174" fontId="47" fillId="0" borderId="6" xfId="7" applyNumberFormat="1" applyFont="1" applyBorder="1" applyAlignment="1">
      <alignment horizontal="center" vertical="center" wrapText="1"/>
    </xf>
    <xf numFmtId="174" fontId="47" fillId="0" borderId="7" xfId="7" applyNumberFormat="1" applyFont="1" applyBorder="1" applyAlignment="1">
      <alignment horizontal="center" vertical="center" wrapText="1"/>
    </xf>
    <xf numFmtId="173" fontId="41" fillId="0" borderId="4" xfId="7" applyNumberFormat="1" applyFont="1" applyBorder="1" applyAlignment="1">
      <alignment horizontal="center" vertical="center" wrapText="1"/>
    </xf>
    <xf numFmtId="173" fontId="41" fillId="0" borderId="3" xfId="7" applyNumberFormat="1" applyFont="1" applyBorder="1" applyAlignment="1">
      <alignment horizontal="center" vertical="center" wrapText="1"/>
    </xf>
    <xf numFmtId="173" fontId="41" fillId="0" borderId="5" xfId="7" applyNumberFormat="1" applyFont="1" applyBorder="1" applyAlignment="1">
      <alignment horizontal="center" vertical="center" wrapText="1"/>
    </xf>
    <xf numFmtId="173" fontId="41" fillId="0" borderId="6" xfId="7" applyNumberFormat="1" applyFont="1" applyBorder="1" applyAlignment="1">
      <alignment horizontal="center" vertical="center" wrapText="1"/>
    </xf>
    <xf numFmtId="173" fontId="41" fillId="0" borderId="7" xfId="7" applyNumberFormat="1" applyFont="1" applyBorder="1" applyAlignment="1">
      <alignment horizontal="center" vertical="center" wrapText="1"/>
    </xf>
    <xf numFmtId="174" fontId="47" fillId="0" borderId="4" xfId="7" applyNumberFormat="1" applyFont="1" applyBorder="1" applyAlignment="1">
      <alignment horizontal="center" vertical="center" wrapText="1"/>
    </xf>
    <xf numFmtId="174" fontId="47" fillId="0" borderId="5" xfId="7" applyNumberFormat="1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173" fontId="34" fillId="0" borderId="1" xfId="7" applyNumberFormat="1" applyFont="1" applyBorder="1" applyAlignment="1">
      <alignment horizontal="center" vertical="center" wrapText="1"/>
    </xf>
    <xf numFmtId="173" fontId="41" fillId="0" borderId="1" xfId="7" applyNumberFormat="1" applyFont="1" applyBorder="1" applyAlignment="1">
      <alignment horizontal="center" vertical="center" wrapText="1"/>
    </xf>
    <xf numFmtId="174" fontId="41" fillId="0" borderId="1" xfId="7" applyNumberFormat="1" applyFont="1" applyBorder="1" applyAlignment="1">
      <alignment horizontal="center" vertical="center" wrapText="1"/>
    </xf>
    <xf numFmtId="0" fontId="19" fillId="5" borderId="4" xfId="3" applyFont="1" applyFill="1" applyBorder="1" applyAlignment="1">
      <alignment horizontal="center" vertical="center" wrapText="1"/>
    </xf>
    <xf numFmtId="0" fontId="19" fillId="5" borderId="5" xfId="3" applyFont="1" applyFill="1" applyBorder="1" applyAlignment="1">
      <alignment horizontal="center" vertical="center" wrapText="1"/>
    </xf>
    <xf numFmtId="0" fontId="19" fillId="13" borderId="4" xfId="3" applyFont="1" applyFill="1" applyBorder="1" applyAlignment="1">
      <alignment horizontal="center" vertical="center" wrapText="1"/>
    </xf>
    <xf numFmtId="0" fontId="19" fillId="13" borderId="5" xfId="3" applyFont="1" applyFill="1" applyBorder="1" applyAlignment="1">
      <alignment horizontal="center" vertical="center" wrapText="1"/>
    </xf>
    <xf numFmtId="174" fontId="24" fillId="13" borderId="4" xfId="7" applyNumberFormat="1" applyFont="1" applyFill="1" applyBorder="1" applyAlignment="1">
      <alignment horizontal="center" vertical="center" wrapText="1"/>
    </xf>
    <xf numFmtId="174" fontId="24" fillId="13" borderId="5" xfId="7" applyNumberFormat="1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74" fontId="23" fillId="15" borderId="4" xfId="7" applyNumberFormat="1" applyFont="1" applyFill="1" applyBorder="1" applyAlignment="1">
      <alignment horizontal="center" vertical="center"/>
    </xf>
    <xf numFmtId="174" fontId="23" fillId="15" borderId="5" xfId="7" applyNumberFormat="1" applyFont="1" applyFill="1" applyBorder="1" applyAlignment="1">
      <alignment horizontal="center" vertical="center"/>
    </xf>
    <xf numFmtId="171" fontId="23" fillId="0" borderId="4" xfId="7" applyNumberFormat="1" applyFont="1" applyBorder="1" applyAlignment="1">
      <alignment horizontal="center" vertical="center"/>
    </xf>
    <xf numFmtId="171" fontId="23" fillId="0" borderId="5" xfId="7" applyNumberFormat="1" applyFont="1" applyBorder="1" applyAlignment="1">
      <alignment horizontal="center" vertical="center"/>
    </xf>
    <xf numFmtId="171" fontId="23" fillId="0" borderId="6" xfId="7" applyNumberFormat="1" applyFont="1" applyBorder="1" applyAlignment="1">
      <alignment horizontal="center" vertical="center"/>
    </xf>
    <xf numFmtId="171" fontId="23" fillId="0" borderId="17" xfId="7" applyNumberFormat="1" applyFont="1" applyBorder="1" applyAlignment="1">
      <alignment horizontal="center" vertical="center"/>
    </xf>
    <xf numFmtId="171" fontId="23" fillId="0" borderId="7" xfId="7" applyNumberFormat="1" applyFont="1" applyBorder="1" applyAlignment="1">
      <alignment horizontal="center" vertical="center"/>
    </xf>
  </cellXfs>
  <cellStyles count="9">
    <cellStyle name="Comma" xfId="7" builtinId="3"/>
    <cellStyle name="Comma 2" xfId="4" xr:uid="{00000000-0005-0000-0000-000001000000}"/>
    <cellStyle name="Comma 3" xfId="6" xr:uid="{00000000-0005-0000-0000-000002000000}"/>
    <cellStyle name="Comma 8" xfId="5" xr:uid="{00000000-0005-0000-0000-000003000000}"/>
    <cellStyle name="Normal" xfId="0" builtinId="0"/>
    <cellStyle name="Normal 2" xfId="3" xr:uid="{00000000-0005-0000-0000-000005000000}"/>
    <cellStyle name="Normal 2 2" xfId="8" xr:uid="{00000000-0005-0000-0000-000006000000}"/>
    <cellStyle name="Normal 3" xfId="2" xr:uid="{00000000-0005-0000-0000-000007000000}"/>
    <cellStyle name="Normal 4" xfId="1" xr:uid="{00000000-0005-0000-0000-000008000000}"/>
  </cellStyles>
  <dxfs count="25"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</xdr:rowOff>
    </xdr:from>
    <xdr:to>
      <xdr:col>2</xdr:col>
      <xdr:colOff>66675</xdr:colOff>
      <xdr:row>3</xdr:row>
      <xdr:rowOff>98872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"/>
          <a:ext cx="714374" cy="603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70909</xdr:colOff>
      <xdr:row>0</xdr:row>
      <xdr:rowOff>0</xdr:rowOff>
    </xdr:from>
    <xdr:to>
      <xdr:col>1</xdr:col>
      <xdr:colOff>567267</xdr:colOff>
      <xdr:row>5</xdr:row>
      <xdr:rowOff>63717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09" y="0"/>
          <a:ext cx="945091" cy="112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352424</xdr:colOff>
      <xdr:row>3</xdr:row>
      <xdr:rowOff>98872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0E1907-BEE7-483E-9835-9EBA89D8E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"/>
          <a:ext cx="815339" cy="6932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H&#7908;NG/CH&#7844;M%20C&#212;NG%20T&#205;NH%20L&#431;&#416;NG/Qu&#7843;n%20l&#253;%20nh&#226;n%20s&#792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Setting"/>
      <sheetName val="NV_DanhSach"/>
      <sheetName val="NV_ThemMoi"/>
      <sheetName val="NV_Sua"/>
      <sheetName val="NV_QuaTrinh"/>
      <sheetName val="NV_HDLD"/>
      <sheetName val="NV_SinhNhat"/>
      <sheetName val="BCC_HC"/>
      <sheetName val="BCC_SX"/>
      <sheetName val="BCC_BangLuu"/>
      <sheetName val="BCC_MCC"/>
      <sheetName val="BCC_MCC_Luu"/>
      <sheetName val="BL_BangTinh"/>
      <sheetName val="BL_BangLuu"/>
      <sheetName val="DK"/>
      <sheetName val="BC_CP_Luong"/>
      <sheetName val="BC_PhieuLuong"/>
      <sheetName val="BC_NganHang"/>
      <sheetName val="BC_BaoHiem"/>
      <sheetName val="BC_ThueTNC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C2:AD105"/>
  <sheetViews>
    <sheetView zoomScale="90" zoomScaleNormal="90" workbookViewId="0">
      <selection activeCell="AD6" sqref="AD6:AD77"/>
    </sheetView>
  </sheetViews>
  <sheetFormatPr defaultRowHeight="15" x14ac:dyDescent="0.25"/>
  <cols>
    <col min="3" max="3" width="12.28515625" style="58" bestFit="1" customWidth="1"/>
    <col min="4" max="4" width="29.140625" bestFit="1" customWidth="1"/>
    <col min="5" max="5" width="12.140625" bestFit="1" customWidth="1"/>
    <col min="7" max="7" width="16.28515625" bestFit="1" customWidth="1"/>
    <col min="8" max="8" width="12.140625" bestFit="1" customWidth="1"/>
    <col min="9" max="9" width="13.140625" customWidth="1"/>
    <col min="10" max="11" width="53.85546875" bestFit="1" customWidth="1"/>
    <col min="12" max="12" width="6.28515625" bestFit="1" customWidth="1"/>
    <col min="13" max="13" width="5.85546875" bestFit="1" customWidth="1"/>
    <col min="14" max="14" width="6.5703125" bestFit="1" customWidth="1"/>
    <col min="16" max="16" width="6.7109375" bestFit="1" customWidth="1"/>
    <col min="17" max="17" width="11.85546875" bestFit="1" customWidth="1"/>
    <col min="18" max="19" width="12.140625" bestFit="1" customWidth="1"/>
    <col min="20" max="20" width="10.7109375" bestFit="1" customWidth="1"/>
    <col min="21" max="21" width="13.7109375" bestFit="1" customWidth="1"/>
    <col min="22" max="22" width="10.28515625" bestFit="1" customWidth="1"/>
    <col min="23" max="23" width="11.28515625" bestFit="1" customWidth="1"/>
    <col min="24" max="24" width="11" bestFit="1" customWidth="1"/>
    <col min="25" max="26" width="8.42578125" bestFit="1" customWidth="1"/>
    <col min="27" max="27" width="8.5703125" bestFit="1" customWidth="1"/>
    <col min="28" max="28" width="7" bestFit="1" customWidth="1"/>
    <col min="29" max="29" width="5.5703125" bestFit="1" customWidth="1"/>
  </cols>
  <sheetData>
    <row r="2" spans="3:30" ht="15.75" x14ac:dyDescent="0.25">
      <c r="C2" s="1"/>
      <c r="D2" s="15"/>
      <c r="E2" s="15"/>
      <c r="F2" s="15"/>
      <c r="G2" s="16"/>
      <c r="H2" s="17"/>
      <c r="I2" s="18"/>
      <c r="J2" s="18"/>
      <c r="K2" s="18"/>
      <c r="L2" s="18"/>
      <c r="M2" s="19"/>
      <c r="N2" s="19"/>
      <c r="O2" s="19"/>
      <c r="P2" s="20"/>
      <c r="Q2" s="19"/>
      <c r="R2" s="21"/>
      <c r="S2" s="20"/>
      <c r="T2" s="20"/>
      <c r="U2" s="20"/>
      <c r="V2" s="20"/>
      <c r="W2" s="20"/>
      <c r="X2" s="22"/>
      <c r="Y2" s="22"/>
      <c r="Z2" s="22"/>
      <c r="AA2" s="19"/>
      <c r="AB2" s="2"/>
      <c r="AC2" s="2"/>
    </row>
    <row r="3" spans="3:30" ht="15.75" x14ac:dyDescent="0.25">
      <c r="C3" s="360" t="s">
        <v>172</v>
      </c>
      <c r="D3" s="356" t="s">
        <v>173</v>
      </c>
      <c r="E3" s="357"/>
      <c r="F3" s="357"/>
      <c r="G3" s="357"/>
      <c r="H3" s="357"/>
      <c r="I3" s="357"/>
      <c r="J3" s="357"/>
      <c r="K3" s="357"/>
      <c r="L3" s="357"/>
      <c r="M3" s="357"/>
      <c r="N3" s="358"/>
      <c r="O3" s="23"/>
      <c r="P3" s="359" t="s">
        <v>174</v>
      </c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13"/>
      <c r="AC3" s="2"/>
      <c r="AD3">
        <f>SUBTOTAL(9,AD6:AD93)</f>
        <v>15</v>
      </c>
    </row>
    <row r="4" spans="3:30" ht="38.25" x14ac:dyDescent="0.25">
      <c r="C4" s="361"/>
      <c r="D4" s="24" t="s">
        <v>17</v>
      </c>
      <c r="E4" s="25" t="s">
        <v>175</v>
      </c>
      <c r="F4" s="26" t="s">
        <v>176</v>
      </c>
      <c r="G4" s="27" t="s">
        <v>177</v>
      </c>
      <c r="H4" s="27" t="s">
        <v>178</v>
      </c>
      <c r="I4" s="27" t="s">
        <v>179</v>
      </c>
      <c r="J4" s="27" t="s">
        <v>180</v>
      </c>
      <c r="K4" s="27" t="s">
        <v>181</v>
      </c>
      <c r="L4" s="25" t="s">
        <v>182</v>
      </c>
      <c r="M4" s="25" t="s">
        <v>183</v>
      </c>
      <c r="N4" s="25" t="s">
        <v>184</v>
      </c>
      <c r="O4" s="25"/>
      <c r="P4" s="26" t="s">
        <v>185</v>
      </c>
      <c r="Q4" s="27" t="s">
        <v>186</v>
      </c>
      <c r="R4" s="27" t="s">
        <v>187</v>
      </c>
      <c r="S4" s="27" t="s">
        <v>188</v>
      </c>
      <c r="T4" s="28" t="s">
        <v>189</v>
      </c>
      <c r="U4" s="28" t="s">
        <v>190</v>
      </c>
      <c r="V4" s="28" t="s">
        <v>191</v>
      </c>
      <c r="W4" s="27" t="s">
        <v>192</v>
      </c>
      <c r="X4" s="29" t="s">
        <v>193</v>
      </c>
      <c r="Y4" s="29" t="s">
        <v>194</v>
      </c>
      <c r="Z4" s="29" t="s">
        <v>195</v>
      </c>
      <c r="AA4" s="29" t="s">
        <v>196</v>
      </c>
      <c r="AB4" s="3" t="s">
        <v>197</v>
      </c>
      <c r="AC4" s="3" t="s">
        <v>198</v>
      </c>
    </row>
    <row r="5" spans="3:30" ht="15.75" x14ac:dyDescent="0.25"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/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30">
        <v>24</v>
      </c>
      <c r="AA5" s="30">
        <v>25</v>
      </c>
      <c r="AB5" s="14"/>
      <c r="AC5" s="4"/>
    </row>
    <row r="6" spans="3:30" ht="15.75" x14ac:dyDescent="0.25">
      <c r="C6" s="31" t="s">
        <v>30</v>
      </c>
      <c r="D6" s="52" t="s">
        <v>31</v>
      </c>
      <c r="E6" s="33">
        <v>24488</v>
      </c>
      <c r="F6" s="53"/>
      <c r="G6" s="31" t="s">
        <v>199</v>
      </c>
      <c r="H6" s="54">
        <v>44742</v>
      </c>
      <c r="I6" s="52" t="s">
        <v>200</v>
      </c>
      <c r="J6" s="52" t="s">
        <v>201</v>
      </c>
      <c r="K6" s="52" t="s">
        <v>202</v>
      </c>
      <c r="L6" s="52"/>
      <c r="M6" s="52"/>
      <c r="N6" s="51"/>
      <c r="O6" s="51"/>
      <c r="P6" s="31" t="s">
        <v>203</v>
      </c>
      <c r="Q6" s="32" t="s">
        <v>204</v>
      </c>
      <c r="R6" s="34">
        <v>45306</v>
      </c>
      <c r="S6" s="33">
        <v>45306</v>
      </c>
      <c r="T6" s="32" t="s">
        <v>205</v>
      </c>
      <c r="U6" s="32" t="s">
        <v>206</v>
      </c>
      <c r="V6" s="31" t="s">
        <v>207</v>
      </c>
      <c r="W6" s="34" t="s">
        <v>208</v>
      </c>
      <c r="X6" s="35">
        <v>4450000</v>
      </c>
      <c r="Y6" s="35">
        <v>0</v>
      </c>
      <c r="Z6" s="35">
        <v>0</v>
      </c>
      <c r="AA6" s="35">
        <v>0</v>
      </c>
      <c r="AB6" s="12" t="s">
        <v>208</v>
      </c>
      <c r="AC6" s="4"/>
      <c r="AD6" s="355">
        <v>1</v>
      </c>
    </row>
    <row r="7" spans="3:30" ht="15.75" hidden="1" x14ac:dyDescent="0.25">
      <c r="C7" s="36" t="s">
        <v>32</v>
      </c>
      <c r="D7" s="41" t="s">
        <v>33</v>
      </c>
      <c r="E7" s="38">
        <v>22479</v>
      </c>
      <c r="F7" s="42"/>
      <c r="G7" s="36" t="s">
        <v>209</v>
      </c>
      <c r="H7" s="43">
        <v>44356</v>
      </c>
      <c r="I7" s="41" t="s">
        <v>200</v>
      </c>
      <c r="J7" s="41" t="s">
        <v>210</v>
      </c>
      <c r="K7" s="41" t="s">
        <v>211</v>
      </c>
      <c r="L7" s="41"/>
      <c r="M7" s="41"/>
      <c r="N7" s="41"/>
      <c r="O7" s="4"/>
      <c r="P7" s="36" t="s">
        <v>212</v>
      </c>
      <c r="Q7" s="37" t="s">
        <v>213</v>
      </c>
      <c r="R7" s="39">
        <v>45345</v>
      </c>
      <c r="S7" s="38">
        <v>45345</v>
      </c>
      <c r="T7" s="37" t="s">
        <v>205</v>
      </c>
      <c r="U7" s="37" t="s">
        <v>206</v>
      </c>
      <c r="V7" s="36" t="s">
        <v>213</v>
      </c>
      <c r="W7" s="39" t="s">
        <v>208</v>
      </c>
      <c r="X7" s="40">
        <v>4450000</v>
      </c>
      <c r="Y7" s="40">
        <v>0</v>
      </c>
      <c r="Z7" s="40">
        <v>0</v>
      </c>
      <c r="AA7" s="40">
        <v>0</v>
      </c>
      <c r="AB7" s="12" t="s">
        <v>208</v>
      </c>
      <c r="AC7" s="4"/>
      <c r="AD7" s="355">
        <v>1</v>
      </c>
    </row>
    <row r="8" spans="3:30" ht="15.75" x14ac:dyDescent="0.25">
      <c r="C8" s="36" t="s">
        <v>34</v>
      </c>
      <c r="D8" s="37" t="s">
        <v>35</v>
      </c>
      <c r="E8" s="38">
        <v>35258</v>
      </c>
      <c r="F8" s="36"/>
      <c r="G8" s="36" t="s">
        <v>214</v>
      </c>
      <c r="H8" s="39">
        <v>44696</v>
      </c>
      <c r="I8" s="37" t="s">
        <v>200</v>
      </c>
      <c r="J8" s="37" t="s">
        <v>215</v>
      </c>
      <c r="K8" s="37" t="s">
        <v>216</v>
      </c>
      <c r="L8" s="37"/>
      <c r="M8" s="37"/>
      <c r="N8" s="37"/>
      <c r="O8" s="37"/>
      <c r="P8" s="44" t="s">
        <v>451</v>
      </c>
      <c r="Q8" s="37" t="s">
        <v>204</v>
      </c>
      <c r="R8" s="39">
        <v>45310</v>
      </c>
      <c r="S8" s="38">
        <v>45310</v>
      </c>
      <c r="T8" s="37" t="s">
        <v>205</v>
      </c>
      <c r="U8" s="37" t="s">
        <v>206</v>
      </c>
      <c r="V8" s="36" t="s">
        <v>217</v>
      </c>
      <c r="W8" s="39">
        <v>45376</v>
      </c>
      <c r="X8" s="40">
        <v>4450000</v>
      </c>
      <c r="Y8" s="40">
        <v>250000</v>
      </c>
      <c r="Z8" s="40">
        <v>300000</v>
      </c>
      <c r="AA8" s="40">
        <v>300000</v>
      </c>
      <c r="AB8" s="6"/>
      <c r="AC8" s="4"/>
      <c r="AD8" s="355">
        <v>1</v>
      </c>
    </row>
    <row r="9" spans="3:30" ht="15.75" x14ac:dyDescent="0.25">
      <c r="C9" s="36" t="s">
        <v>36</v>
      </c>
      <c r="D9" s="37" t="s">
        <v>37</v>
      </c>
      <c r="E9" s="38">
        <v>33295</v>
      </c>
      <c r="F9" s="36"/>
      <c r="G9" s="36" t="s">
        <v>218</v>
      </c>
      <c r="H9" s="39">
        <v>44522</v>
      </c>
      <c r="I9" s="37" t="s">
        <v>200</v>
      </c>
      <c r="J9" s="37" t="s">
        <v>219</v>
      </c>
      <c r="K9" s="37" t="s">
        <v>220</v>
      </c>
      <c r="L9" s="37"/>
      <c r="M9" s="37"/>
      <c r="N9" s="37"/>
      <c r="O9" s="37"/>
      <c r="P9" s="44" t="s">
        <v>452</v>
      </c>
      <c r="Q9" s="37" t="s">
        <v>204</v>
      </c>
      <c r="R9" s="39">
        <v>45306</v>
      </c>
      <c r="S9" s="38">
        <v>45306</v>
      </c>
      <c r="T9" s="37" t="s">
        <v>205</v>
      </c>
      <c r="U9" s="37" t="s">
        <v>206</v>
      </c>
      <c r="V9" s="36" t="s">
        <v>217</v>
      </c>
      <c r="W9" s="39">
        <v>45376</v>
      </c>
      <c r="X9" s="40">
        <v>4450000</v>
      </c>
      <c r="Y9" s="40">
        <v>0</v>
      </c>
      <c r="Z9" s="40">
        <v>0</v>
      </c>
      <c r="AA9" s="40">
        <v>0</v>
      </c>
      <c r="AB9" s="6"/>
      <c r="AC9" s="4"/>
      <c r="AD9" s="355">
        <v>1</v>
      </c>
    </row>
    <row r="10" spans="3:30" ht="15.75" x14ac:dyDescent="0.25">
      <c r="C10" s="36" t="s">
        <v>38</v>
      </c>
      <c r="D10" s="37" t="s">
        <v>39</v>
      </c>
      <c r="E10" s="38">
        <v>36677</v>
      </c>
      <c r="F10" s="36"/>
      <c r="G10" s="36" t="s">
        <v>221</v>
      </c>
      <c r="H10" s="39">
        <v>44522</v>
      </c>
      <c r="I10" s="37" t="s">
        <v>200</v>
      </c>
      <c r="J10" s="37" t="s">
        <v>219</v>
      </c>
      <c r="K10" s="37" t="s">
        <v>220</v>
      </c>
      <c r="L10" s="37"/>
      <c r="M10" s="37"/>
      <c r="N10" s="37"/>
      <c r="O10" s="37"/>
      <c r="P10" s="44" t="s">
        <v>453</v>
      </c>
      <c r="Q10" s="37" t="s">
        <v>204</v>
      </c>
      <c r="R10" s="39">
        <v>45306</v>
      </c>
      <c r="S10" s="38">
        <v>45306</v>
      </c>
      <c r="T10" s="37" t="s">
        <v>205</v>
      </c>
      <c r="U10" s="37" t="s">
        <v>206</v>
      </c>
      <c r="V10" s="36" t="s">
        <v>217</v>
      </c>
      <c r="W10" s="39">
        <v>45374</v>
      </c>
      <c r="X10" s="40">
        <v>4450000</v>
      </c>
      <c r="Y10" s="40">
        <v>0</v>
      </c>
      <c r="Z10" s="40">
        <v>0</v>
      </c>
      <c r="AA10" s="40">
        <v>0</v>
      </c>
      <c r="AB10" s="6"/>
      <c r="AC10" s="4"/>
      <c r="AD10" s="355">
        <v>1</v>
      </c>
    </row>
    <row r="11" spans="3:30" ht="15.75" x14ac:dyDescent="0.25">
      <c r="C11" s="36" t="s">
        <v>40</v>
      </c>
      <c r="D11" s="37" t="s">
        <v>41</v>
      </c>
      <c r="E11" s="38">
        <v>35733</v>
      </c>
      <c r="F11" s="36"/>
      <c r="G11" s="36" t="s">
        <v>222</v>
      </c>
      <c r="H11" s="39">
        <v>44756</v>
      </c>
      <c r="I11" s="37" t="s">
        <v>200</v>
      </c>
      <c r="J11" s="37" t="s">
        <v>223</v>
      </c>
      <c r="K11" s="37" t="s">
        <v>224</v>
      </c>
      <c r="L11" s="37"/>
      <c r="M11" s="37"/>
      <c r="N11" s="37"/>
      <c r="O11" s="37"/>
      <c r="P11" s="36" t="s">
        <v>225</v>
      </c>
      <c r="Q11" s="37" t="s">
        <v>204</v>
      </c>
      <c r="R11" s="39">
        <v>45310</v>
      </c>
      <c r="S11" s="38">
        <v>45310</v>
      </c>
      <c r="T11" s="37" t="s">
        <v>205</v>
      </c>
      <c r="U11" s="37" t="s">
        <v>206</v>
      </c>
      <c r="V11" s="36" t="s">
        <v>207</v>
      </c>
      <c r="W11" s="39" t="s">
        <v>208</v>
      </c>
      <c r="X11" s="40">
        <v>4450000</v>
      </c>
      <c r="Y11" s="40">
        <v>0</v>
      </c>
      <c r="Z11" s="40">
        <v>0</v>
      </c>
      <c r="AA11" s="40">
        <v>0</v>
      </c>
      <c r="AB11" s="6"/>
      <c r="AC11" s="4"/>
      <c r="AD11" s="355">
        <v>1</v>
      </c>
    </row>
    <row r="12" spans="3:30" ht="15.75" hidden="1" x14ac:dyDescent="0.25">
      <c r="C12" s="36" t="s">
        <v>42</v>
      </c>
      <c r="D12" s="37" t="s">
        <v>43</v>
      </c>
      <c r="E12" s="38">
        <v>37816</v>
      </c>
      <c r="F12" s="36"/>
      <c r="G12" s="36">
        <v>87203016725</v>
      </c>
      <c r="H12" s="39">
        <v>44347</v>
      </c>
      <c r="I12" s="37" t="s">
        <v>200</v>
      </c>
      <c r="J12" s="37" t="s">
        <v>226</v>
      </c>
      <c r="K12" s="37" t="s">
        <v>227</v>
      </c>
      <c r="L12" s="37"/>
      <c r="M12" s="37"/>
      <c r="N12" s="37"/>
      <c r="O12" s="37"/>
      <c r="P12" s="36" t="s">
        <v>228</v>
      </c>
      <c r="Q12" s="37" t="s">
        <v>213</v>
      </c>
      <c r="R12" s="39">
        <v>45348</v>
      </c>
      <c r="S12" s="38">
        <v>45348</v>
      </c>
      <c r="T12" s="37" t="s">
        <v>205</v>
      </c>
      <c r="U12" s="37" t="s">
        <v>206</v>
      </c>
      <c r="V12" s="36" t="s">
        <v>213</v>
      </c>
      <c r="W12" s="39" t="s">
        <v>208</v>
      </c>
      <c r="X12" s="40">
        <v>4450000</v>
      </c>
      <c r="Y12" s="40">
        <v>0</v>
      </c>
      <c r="Z12" s="40">
        <v>0</v>
      </c>
      <c r="AA12" s="40">
        <v>0</v>
      </c>
      <c r="AB12" s="6"/>
      <c r="AC12" s="4"/>
      <c r="AD12" s="355">
        <v>1</v>
      </c>
    </row>
    <row r="13" spans="3:30" ht="15.75" hidden="1" x14ac:dyDescent="0.25">
      <c r="C13" s="36" t="s">
        <v>44</v>
      </c>
      <c r="D13" s="37" t="s">
        <v>45</v>
      </c>
      <c r="E13" s="38">
        <v>33970</v>
      </c>
      <c r="F13" s="36"/>
      <c r="G13" s="36" t="s">
        <v>229</v>
      </c>
      <c r="H13" s="39">
        <v>44724</v>
      </c>
      <c r="I13" s="37" t="s">
        <v>200</v>
      </c>
      <c r="J13" s="37" t="s">
        <v>230</v>
      </c>
      <c r="K13" s="37" t="s">
        <v>231</v>
      </c>
      <c r="L13" s="37"/>
      <c r="M13" s="37"/>
      <c r="N13" s="37"/>
      <c r="O13" s="37"/>
      <c r="P13" s="36" t="s">
        <v>232</v>
      </c>
      <c r="Q13" s="37" t="s">
        <v>213</v>
      </c>
      <c r="R13" s="39">
        <v>45337</v>
      </c>
      <c r="S13" s="38">
        <v>45337</v>
      </c>
      <c r="T13" s="37" t="s">
        <v>205</v>
      </c>
      <c r="U13" s="37" t="s">
        <v>206</v>
      </c>
      <c r="V13" s="36" t="s">
        <v>213</v>
      </c>
      <c r="W13" s="39" t="s">
        <v>208</v>
      </c>
      <c r="X13" s="40">
        <v>4450000</v>
      </c>
      <c r="Y13" s="40">
        <v>0</v>
      </c>
      <c r="Z13" s="40">
        <v>0</v>
      </c>
      <c r="AA13" s="40">
        <v>0</v>
      </c>
      <c r="AB13" s="6"/>
      <c r="AC13" s="4"/>
      <c r="AD13" s="355">
        <v>1</v>
      </c>
    </row>
    <row r="14" spans="3:30" ht="15.75" hidden="1" x14ac:dyDescent="0.25">
      <c r="C14" s="36" t="s">
        <v>46</v>
      </c>
      <c r="D14" s="37" t="s">
        <v>47</v>
      </c>
      <c r="E14" s="38">
        <v>29535</v>
      </c>
      <c r="F14" s="36"/>
      <c r="G14" s="36" t="s">
        <v>233</v>
      </c>
      <c r="H14" s="39">
        <v>44312</v>
      </c>
      <c r="I14" s="37" t="s">
        <v>200</v>
      </c>
      <c r="J14" s="37" t="s">
        <v>234</v>
      </c>
      <c r="K14" s="37" t="s">
        <v>235</v>
      </c>
      <c r="L14" s="37"/>
      <c r="M14" s="37"/>
      <c r="N14" s="37"/>
      <c r="O14" s="37"/>
      <c r="P14" s="36" t="s">
        <v>236</v>
      </c>
      <c r="Q14" s="37" t="s">
        <v>213</v>
      </c>
      <c r="R14" s="39">
        <v>45337</v>
      </c>
      <c r="S14" s="38">
        <v>45337</v>
      </c>
      <c r="T14" s="37" t="s">
        <v>205</v>
      </c>
      <c r="U14" s="37" t="s">
        <v>206</v>
      </c>
      <c r="V14" s="36" t="s">
        <v>213</v>
      </c>
      <c r="W14" s="39" t="s">
        <v>208</v>
      </c>
      <c r="X14" s="40">
        <v>4450000</v>
      </c>
      <c r="Y14" s="40">
        <v>0</v>
      </c>
      <c r="Z14" s="40">
        <v>0</v>
      </c>
      <c r="AA14" s="40">
        <v>0</v>
      </c>
      <c r="AB14" s="6"/>
      <c r="AC14" s="4"/>
      <c r="AD14" s="355">
        <v>1</v>
      </c>
    </row>
    <row r="15" spans="3:30" ht="15.75" hidden="1" x14ac:dyDescent="0.25">
      <c r="C15" s="36" t="s">
        <v>48</v>
      </c>
      <c r="D15" s="41" t="s">
        <v>49</v>
      </c>
      <c r="E15" s="38">
        <v>33898</v>
      </c>
      <c r="F15" s="42"/>
      <c r="G15" s="36" t="s">
        <v>237</v>
      </c>
      <c r="H15" s="43">
        <v>44438</v>
      </c>
      <c r="I15" s="41" t="s">
        <v>200</v>
      </c>
      <c r="J15" s="41" t="s">
        <v>238</v>
      </c>
      <c r="K15" s="41" t="s">
        <v>239</v>
      </c>
      <c r="L15" s="41"/>
      <c r="M15" s="41"/>
      <c r="N15" s="41"/>
      <c r="O15" s="41"/>
      <c r="P15" s="36" t="s">
        <v>240</v>
      </c>
      <c r="Q15" s="37" t="s">
        <v>213</v>
      </c>
      <c r="R15" s="39">
        <v>45338</v>
      </c>
      <c r="S15" s="38">
        <v>45338</v>
      </c>
      <c r="T15" s="37" t="s">
        <v>205</v>
      </c>
      <c r="U15" s="37" t="s">
        <v>206</v>
      </c>
      <c r="V15" s="36" t="s">
        <v>213</v>
      </c>
      <c r="W15" s="39" t="s">
        <v>208</v>
      </c>
      <c r="X15" s="40">
        <v>4450000</v>
      </c>
      <c r="Y15" s="40">
        <v>0</v>
      </c>
      <c r="Z15" s="40">
        <v>0</v>
      </c>
      <c r="AA15" s="40">
        <v>0</v>
      </c>
      <c r="AB15" s="6"/>
      <c r="AC15" s="4"/>
      <c r="AD15" s="355">
        <v>1</v>
      </c>
    </row>
    <row r="16" spans="3:30" ht="15.75" hidden="1" x14ac:dyDescent="0.25">
      <c r="C16" s="36" t="s">
        <v>50</v>
      </c>
      <c r="D16" s="41" t="s">
        <v>51</v>
      </c>
      <c r="E16" s="38">
        <v>38123</v>
      </c>
      <c r="F16" s="42"/>
      <c r="G16" s="36" t="s">
        <v>241</v>
      </c>
      <c r="H16" s="43">
        <v>44805</v>
      </c>
      <c r="I16" s="41" t="s">
        <v>200</v>
      </c>
      <c r="J16" s="41" t="s">
        <v>242</v>
      </c>
      <c r="K16" s="41" t="s">
        <v>243</v>
      </c>
      <c r="L16" s="41"/>
      <c r="M16" s="41"/>
      <c r="N16" s="41"/>
      <c r="O16" s="41"/>
      <c r="P16" s="36" t="s">
        <v>244</v>
      </c>
      <c r="Q16" s="37" t="s">
        <v>213</v>
      </c>
      <c r="R16" s="39">
        <v>45344</v>
      </c>
      <c r="S16" s="38">
        <v>45344</v>
      </c>
      <c r="T16" s="37" t="s">
        <v>205</v>
      </c>
      <c r="U16" s="37" t="s">
        <v>206</v>
      </c>
      <c r="V16" s="36" t="s">
        <v>213</v>
      </c>
      <c r="W16" s="39" t="s">
        <v>208</v>
      </c>
      <c r="X16" s="40">
        <v>4450000</v>
      </c>
      <c r="Y16" s="40">
        <v>0</v>
      </c>
      <c r="Z16" s="40">
        <v>0</v>
      </c>
      <c r="AA16" s="40">
        <v>0</v>
      </c>
      <c r="AB16" s="6"/>
      <c r="AC16" s="4"/>
      <c r="AD16" s="355">
        <v>1</v>
      </c>
    </row>
    <row r="17" spans="3:30" ht="15.75" hidden="1" x14ac:dyDescent="0.25">
      <c r="C17" s="36" t="s">
        <v>52</v>
      </c>
      <c r="D17" s="41" t="s">
        <v>53</v>
      </c>
      <c r="E17" s="38">
        <v>35298</v>
      </c>
      <c r="F17" s="42"/>
      <c r="G17" s="36" t="s">
        <v>245</v>
      </c>
      <c r="H17" s="43">
        <v>44825</v>
      </c>
      <c r="I17" s="41" t="s">
        <v>200</v>
      </c>
      <c r="J17" s="41" t="s">
        <v>242</v>
      </c>
      <c r="K17" s="41" t="s">
        <v>242</v>
      </c>
      <c r="L17" s="41"/>
      <c r="M17" s="41"/>
      <c r="N17" s="41"/>
      <c r="O17" s="41"/>
      <c r="P17" s="36" t="s">
        <v>246</v>
      </c>
      <c r="Q17" s="37" t="s">
        <v>213</v>
      </c>
      <c r="R17" s="39">
        <v>45344</v>
      </c>
      <c r="S17" s="38">
        <v>45344</v>
      </c>
      <c r="T17" s="37" t="s">
        <v>205</v>
      </c>
      <c r="U17" s="37" t="s">
        <v>206</v>
      </c>
      <c r="V17" s="36" t="s">
        <v>213</v>
      </c>
      <c r="W17" s="39" t="s">
        <v>208</v>
      </c>
      <c r="X17" s="40">
        <v>4450000</v>
      </c>
      <c r="Y17" s="40">
        <v>0</v>
      </c>
      <c r="Z17" s="40">
        <v>0</v>
      </c>
      <c r="AA17" s="40">
        <v>0</v>
      </c>
      <c r="AB17" s="6"/>
      <c r="AC17" s="4"/>
      <c r="AD17" s="355">
        <v>1</v>
      </c>
    </row>
    <row r="18" spans="3:30" ht="15.75" hidden="1" x14ac:dyDescent="0.25">
      <c r="C18" s="36" t="s">
        <v>54</v>
      </c>
      <c r="D18" s="41" t="s">
        <v>55</v>
      </c>
      <c r="E18" s="38">
        <v>32534</v>
      </c>
      <c r="F18" s="42"/>
      <c r="G18" s="36" t="s">
        <v>247</v>
      </c>
      <c r="H18" s="43">
        <v>44508</v>
      </c>
      <c r="I18" s="41" t="s">
        <v>200</v>
      </c>
      <c r="J18" s="41" t="s">
        <v>248</v>
      </c>
      <c r="K18" s="41" t="s">
        <v>249</v>
      </c>
      <c r="L18" s="41"/>
      <c r="M18" s="41"/>
      <c r="N18" s="41"/>
      <c r="O18" s="41"/>
      <c r="P18" s="36" t="s">
        <v>250</v>
      </c>
      <c r="Q18" s="37" t="s">
        <v>213</v>
      </c>
      <c r="R18" s="39">
        <v>45344</v>
      </c>
      <c r="S18" s="38">
        <v>45344</v>
      </c>
      <c r="T18" s="37" t="s">
        <v>205</v>
      </c>
      <c r="U18" s="37" t="s">
        <v>206</v>
      </c>
      <c r="V18" s="36" t="s">
        <v>213</v>
      </c>
      <c r="W18" s="39" t="s">
        <v>208</v>
      </c>
      <c r="X18" s="40">
        <v>4450000</v>
      </c>
      <c r="Y18" s="40">
        <v>0</v>
      </c>
      <c r="Z18" s="40">
        <v>0</v>
      </c>
      <c r="AA18" s="40">
        <v>0</v>
      </c>
      <c r="AB18" s="6"/>
      <c r="AC18" s="4"/>
      <c r="AD18" s="355">
        <v>1</v>
      </c>
    </row>
    <row r="19" spans="3:30" ht="15.75" hidden="1" x14ac:dyDescent="0.25">
      <c r="C19" s="36" t="s">
        <v>56</v>
      </c>
      <c r="D19" s="41" t="s">
        <v>57</v>
      </c>
      <c r="E19" s="38">
        <v>30670</v>
      </c>
      <c r="F19" s="42"/>
      <c r="G19" s="36" t="s">
        <v>251</v>
      </c>
      <c r="H19" s="43">
        <v>44917</v>
      </c>
      <c r="I19" s="41" t="s">
        <v>252</v>
      </c>
      <c r="J19" s="41" t="s">
        <v>253</v>
      </c>
      <c r="K19" s="41" t="s">
        <v>254</v>
      </c>
      <c r="L19" s="41"/>
      <c r="M19" s="41"/>
      <c r="N19" s="41"/>
      <c r="O19" s="41"/>
      <c r="P19" s="36" t="s">
        <v>255</v>
      </c>
      <c r="Q19" s="37" t="s">
        <v>213</v>
      </c>
      <c r="R19" s="39">
        <v>45350</v>
      </c>
      <c r="S19" s="38">
        <v>45350</v>
      </c>
      <c r="T19" s="37" t="s">
        <v>205</v>
      </c>
      <c r="U19" s="37" t="s">
        <v>206</v>
      </c>
      <c r="V19" s="36" t="s">
        <v>213</v>
      </c>
      <c r="W19" s="39" t="s">
        <v>208</v>
      </c>
      <c r="X19" s="40">
        <v>4450000</v>
      </c>
      <c r="Y19" s="40">
        <v>0</v>
      </c>
      <c r="Z19" s="40">
        <v>0</v>
      </c>
      <c r="AA19" s="40">
        <v>0</v>
      </c>
      <c r="AB19" s="6"/>
      <c r="AC19" s="4"/>
      <c r="AD19" s="355">
        <v>1</v>
      </c>
    </row>
    <row r="20" spans="3:30" ht="15.75" hidden="1" x14ac:dyDescent="0.25">
      <c r="C20" s="36" t="s">
        <v>58</v>
      </c>
      <c r="D20" s="41" t="s">
        <v>59</v>
      </c>
      <c r="E20" s="38">
        <v>37412</v>
      </c>
      <c r="F20" s="42"/>
      <c r="G20" s="36" t="s">
        <v>256</v>
      </c>
      <c r="H20" s="43">
        <v>44659</v>
      </c>
      <c r="I20" s="41" t="s">
        <v>200</v>
      </c>
      <c r="J20" s="41" t="s">
        <v>257</v>
      </c>
      <c r="K20" s="41" t="s">
        <v>258</v>
      </c>
      <c r="L20" s="41"/>
      <c r="M20" s="41"/>
      <c r="N20" s="41"/>
      <c r="O20" s="41"/>
      <c r="P20" s="36" t="s">
        <v>259</v>
      </c>
      <c r="Q20" s="37" t="s">
        <v>213</v>
      </c>
      <c r="R20" s="39">
        <v>45338</v>
      </c>
      <c r="S20" s="38">
        <v>45338</v>
      </c>
      <c r="T20" s="37" t="s">
        <v>205</v>
      </c>
      <c r="U20" s="37" t="s">
        <v>206</v>
      </c>
      <c r="V20" s="36" t="s">
        <v>213</v>
      </c>
      <c r="W20" s="39" t="s">
        <v>208</v>
      </c>
      <c r="X20" s="40">
        <v>4450000</v>
      </c>
      <c r="Y20" s="40">
        <v>250000</v>
      </c>
      <c r="Z20" s="40">
        <v>300000</v>
      </c>
      <c r="AA20" s="40">
        <v>0</v>
      </c>
      <c r="AB20" s="6"/>
      <c r="AC20" s="4"/>
      <c r="AD20" s="355">
        <v>1</v>
      </c>
    </row>
    <row r="21" spans="3:30" ht="15.75" hidden="1" x14ac:dyDescent="0.25">
      <c r="C21" s="36" t="s">
        <v>60</v>
      </c>
      <c r="D21" s="41" t="s">
        <v>61</v>
      </c>
      <c r="E21" s="38">
        <v>37365</v>
      </c>
      <c r="F21" s="42"/>
      <c r="G21" s="36" t="s">
        <v>260</v>
      </c>
      <c r="H21" s="43">
        <v>44744</v>
      </c>
      <c r="I21" s="41" t="s">
        <v>200</v>
      </c>
      <c r="J21" s="41" t="s">
        <v>261</v>
      </c>
      <c r="K21" s="41" t="s">
        <v>261</v>
      </c>
      <c r="L21" s="41"/>
      <c r="M21" s="41"/>
      <c r="N21" s="41"/>
      <c r="O21" s="41"/>
      <c r="P21" s="36" t="s">
        <v>262</v>
      </c>
      <c r="Q21" s="37" t="s">
        <v>213</v>
      </c>
      <c r="R21" s="39">
        <v>45348</v>
      </c>
      <c r="S21" s="38">
        <v>45348</v>
      </c>
      <c r="T21" s="37" t="s">
        <v>205</v>
      </c>
      <c r="U21" s="37" t="s">
        <v>206</v>
      </c>
      <c r="V21" s="36" t="s">
        <v>213</v>
      </c>
      <c r="W21" s="39" t="s">
        <v>208</v>
      </c>
      <c r="X21" s="40">
        <v>4450000</v>
      </c>
      <c r="Y21" s="40">
        <v>0</v>
      </c>
      <c r="Z21" s="40">
        <v>0</v>
      </c>
      <c r="AA21" s="40">
        <v>0</v>
      </c>
      <c r="AB21" s="6"/>
      <c r="AC21" s="4"/>
      <c r="AD21" s="355">
        <v>1</v>
      </c>
    </row>
    <row r="22" spans="3:30" ht="15.75" x14ac:dyDescent="0.25">
      <c r="C22" s="36" t="s">
        <v>62</v>
      </c>
      <c r="D22" s="41" t="s">
        <v>63</v>
      </c>
      <c r="E22" s="38">
        <v>37598</v>
      </c>
      <c r="F22" s="42"/>
      <c r="G22" s="36" t="s">
        <v>263</v>
      </c>
      <c r="H22" s="43">
        <v>44896</v>
      </c>
      <c r="I22" s="41" t="s">
        <v>200</v>
      </c>
      <c r="J22" s="41" t="s">
        <v>264</v>
      </c>
      <c r="K22" s="41" t="s">
        <v>265</v>
      </c>
      <c r="L22" s="41"/>
      <c r="M22" s="41"/>
      <c r="N22" s="41"/>
      <c r="O22" s="41"/>
      <c r="P22" s="36" t="s">
        <v>266</v>
      </c>
      <c r="Q22" s="37" t="s">
        <v>204</v>
      </c>
      <c r="R22" s="39">
        <v>45292</v>
      </c>
      <c r="S22" s="38">
        <v>45292</v>
      </c>
      <c r="T22" s="37" t="s">
        <v>205</v>
      </c>
      <c r="U22" s="37" t="s">
        <v>206</v>
      </c>
      <c r="V22" s="36" t="s">
        <v>207</v>
      </c>
      <c r="W22" s="39" t="s">
        <v>208</v>
      </c>
      <c r="X22" s="40">
        <v>4450000</v>
      </c>
      <c r="Y22" s="40">
        <v>0</v>
      </c>
      <c r="Z22" s="40">
        <v>0</v>
      </c>
      <c r="AA22" s="40">
        <v>0</v>
      </c>
      <c r="AB22" s="6"/>
      <c r="AC22" s="4"/>
      <c r="AD22" s="355">
        <v>1</v>
      </c>
    </row>
    <row r="23" spans="3:30" ht="15.75" hidden="1" x14ac:dyDescent="0.25">
      <c r="C23" s="36" t="s">
        <v>64</v>
      </c>
      <c r="D23" s="41" t="s">
        <v>65</v>
      </c>
      <c r="E23" s="38">
        <v>38385</v>
      </c>
      <c r="F23" s="42"/>
      <c r="G23" s="36" t="s">
        <v>267</v>
      </c>
      <c r="H23" s="43">
        <v>45342</v>
      </c>
      <c r="I23" s="41" t="s">
        <v>200</v>
      </c>
      <c r="J23" s="41" t="s">
        <v>268</v>
      </c>
      <c r="K23" s="41" t="s">
        <v>269</v>
      </c>
      <c r="L23" s="41"/>
      <c r="M23" s="41"/>
      <c r="N23" s="41"/>
      <c r="O23" s="41"/>
      <c r="P23" s="36" t="s">
        <v>270</v>
      </c>
      <c r="Q23" s="37" t="s">
        <v>213</v>
      </c>
      <c r="R23" s="39">
        <v>45342</v>
      </c>
      <c r="S23" s="38">
        <v>45342</v>
      </c>
      <c r="T23" s="37" t="s">
        <v>205</v>
      </c>
      <c r="U23" s="37" t="s">
        <v>206</v>
      </c>
      <c r="V23" s="36" t="s">
        <v>213</v>
      </c>
      <c r="W23" s="39" t="s">
        <v>208</v>
      </c>
      <c r="X23" s="40">
        <v>4450000</v>
      </c>
      <c r="Y23" s="40">
        <v>0</v>
      </c>
      <c r="Z23" s="40">
        <v>0</v>
      </c>
      <c r="AA23" s="40">
        <v>0</v>
      </c>
      <c r="AB23" s="6"/>
      <c r="AC23" s="4"/>
      <c r="AD23" s="355">
        <v>1</v>
      </c>
    </row>
    <row r="24" spans="3:30" ht="15.75" x14ac:dyDescent="0.25">
      <c r="C24" s="36" t="s">
        <v>66</v>
      </c>
      <c r="D24" s="41" t="s">
        <v>67</v>
      </c>
      <c r="E24" s="38">
        <v>38282</v>
      </c>
      <c r="F24" s="42"/>
      <c r="G24" s="36" t="s">
        <v>271</v>
      </c>
      <c r="H24" s="43">
        <v>44813</v>
      </c>
      <c r="I24" s="41" t="s">
        <v>200</v>
      </c>
      <c r="J24" s="41" t="s">
        <v>268</v>
      </c>
      <c r="K24" s="41" t="s">
        <v>269</v>
      </c>
      <c r="L24" s="41"/>
      <c r="M24" s="41"/>
      <c r="N24" s="41"/>
      <c r="O24" s="41"/>
      <c r="P24" s="36" t="s">
        <v>272</v>
      </c>
      <c r="Q24" s="37" t="s">
        <v>204</v>
      </c>
      <c r="R24" s="39">
        <v>45292</v>
      </c>
      <c r="S24" s="38">
        <v>45292</v>
      </c>
      <c r="T24" s="37" t="s">
        <v>205</v>
      </c>
      <c r="U24" s="37" t="s">
        <v>206</v>
      </c>
      <c r="V24" s="36" t="s">
        <v>213</v>
      </c>
      <c r="W24" s="39" t="s">
        <v>208</v>
      </c>
      <c r="X24" s="40">
        <v>4450000</v>
      </c>
      <c r="Y24" s="40">
        <v>0</v>
      </c>
      <c r="Z24" s="40">
        <v>0</v>
      </c>
      <c r="AA24" s="40">
        <v>0</v>
      </c>
      <c r="AB24" s="6"/>
      <c r="AC24" s="4"/>
      <c r="AD24" s="355">
        <v>1</v>
      </c>
    </row>
    <row r="25" spans="3:30" ht="15.75" hidden="1" x14ac:dyDescent="0.25">
      <c r="C25" s="36" t="s">
        <v>68</v>
      </c>
      <c r="D25" s="41" t="s">
        <v>69</v>
      </c>
      <c r="E25" s="38">
        <v>38454</v>
      </c>
      <c r="F25" s="42"/>
      <c r="G25" s="36" t="s">
        <v>273</v>
      </c>
      <c r="H25" s="43">
        <v>44896</v>
      </c>
      <c r="I25" s="41" t="s">
        <v>200</v>
      </c>
      <c r="J25" s="41" t="s">
        <v>274</v>
      </c>
      <c r="K25" s="41" t="s">
        <v>275</v>
      </c>
      <c r="L25" s="41"/>
      <c r="M25" s="41"/>
      <c r="N25" s="41"/>
      <c r="O25" s="41"/>
      <c r="P25" s="36" t="s">
        <v>276</v>
      </c>
      <c r="Q25" s="37" t="s">
        <v>213</v>
      </c>
      <c r="R25" s="39">
        <v>45344</v>
      </c>
      <c r="S25" s="38">
        <v>45344</v>
      </c>
      <c r="T25" s="37" t="s">
        <v>205</v>
      </c>
      <c r="U25" s="37" t="s">
        <v>206</v>
      </c>
      <c r="V25" s="36" t="s">
        <v>213</v>
      </c>
      <c r="W25" s="39" t="s">
        <v>208</v>
      </c>
      <c r="X25" s="40">
        <v>4450000</v>
      </c>
      <c r="Y25" s="40">
        <v>0</v>
      </c>
      <c r="Z25" s="40">
        <v>0</v>
      </c>
      <c r="AA25" s="40">
        <v>0</v>
      </c>
      <c r="AB25" s="6"/>
      <c r="AC25" s="4"/>
      <c r="AD25" s="355">
        <v>1</v>
      </c>
    </row>
    <row r="26" spans="3:30" ht="15.75" hidden="1" x14ac:dyDescent="0.25">
      <c r="C26" s="36" t="s">
        <v>70</v>
      </c>
      <c r="D26" s="41" t="s">
        <v>71</v>
      </c>
      <c r="E26" s="38">
        <v>32080</v>
      </c>
      <c r="F26" s="42"/>
      <c r="G26" s="36" t="s">
        <v>277</v>
      </c>
      <c r="H26" s="43">
        <v>44790</v>
      </c>
      <c r="I26" s="41" t="s">
        <v>200</v>
      </c>
      <c r="J26" s="41" t="s">
        <v>278</v>
      </c>
      <c r="K26" s="41" t="s">
        <v>279</v>
      </c>
      <c r="L26" s="41"/>
      <c r="M26" s="41"/>
      <c r="N26" s="41"/>
      <c r="O26" s="41"/>
      <c r="P26" s="36" t="s">
        <v>280</v>
      </c>
      <c r="Q26" s="37" t="s">
        <v>213</v>
      </c>
      <c r="R26" s="39">
        <v>45355</v>
      </c>
      <c r="S26" s="38">
        <v>45355</v>
      </c>
      <c r="T26" s="37" t="s">
        <v>205</v>
      </c>
      <c r="U26" s="37" t="s">
        <v>206</v>
      </c>
      <c r="V26" s="36" t="s">
        <v>213</v>
      </c>
      <c r="W26" s="39" t="s">
        <v>208</v>
      </c>
      <c r="X26" s="40">
        <v>4450000</v>
      </c>
      <c r="Y26" s="40">
        <v>0</v>
      </c>
      <c r="Z26" s="40">
        <v>0</v>
      </c>
      <c r="AA26" s="40">
        <v>0</v>
      </c>
      <c r="AB26" s="6"/>
      <c r="AC26" s="4"/>
      <c r="AD26" s="355">
        <v>1</v>
      </c>
    </row>
    <row r="27" spans="3:30" ht="15.75" hidden="1" x14ac:dyDescent="0.25">
      <c r="C27" s="36" t="s">
        <v>72</v>
      </c>
      <c r="D27" s="41" t="s">
        <v>73</v>
      </c>
      <c r="E27" s="38">
        <v>35639</v>
      </c>
      <c r="F27" s="42"/>
      <c r="G27" s="36" t="s">
        <v>281</v>
      </c>
      <c r="H27" s="43">
        <v>44447</v>
      </c>
      <c r="I27" s="41" t="s">
        <v>200</v>
      </c>
      <c r="J27" s="41" t="s">
        <v>282</v>
      </c>
      <c r="K27" s="41" t="s">
        <v>283</v>
      </c>
      <c r="L27" s="41"/>
      <c r="M27" s="41"/>
      <c r="N27" s="41"/>
      <c r="O27" s="41"/>
      <c r="P27" s="36" t="s">
        <v>284</v>
      </c>
      <c r="Q27" s="37" t="s">
        <v>213</v>
      </c>
      <c r="R27" s="39">
        <v>45355</v>
      </c>
      <c r="S27" s="38">
        <v>45355</v>
      </c>
      <c r="T27" s="37" t="s">
        <v>205</v>
      </c>
      <c r="U27" s="37" t="s">
        <v>206</v>
      </c>
      <c r="V27" s="36" t="s">
        <v>213</v>
      </c>
      <c r="W27" s="39" t="s">
        <v>208</v>
      </c>
      <c r="X27" s="40">
        <v>4450000</v>
      </c>
      <c r="Y27" s="40">
        <v>0</v>
      </c>
      <c r="Z27" s="40">
        <v>0</v>
      </c>
      <c r="AA27" s="40">
        <v>0</v>
      </c>
      <c r="AB27" s="6"/>
      <c r="AC27" s="4"/>
      <c r="AD27" s="355">
        <v>1</v>
      </c>
    </row>
    <row r="28" spans="3:30" ht="15.75" hidden="1" x14ac:dyDescent="0.25">
      <c r="C28" s="36" t="s">
        <v>74</v>
      </c>
      <c r="D28" s="41" t="s">
        <v>75</v>
      </c>
      <c r="E28" s="38">
        <v>37648</v>
      </c>
      <c r="F28" s="42"/>
      <c r="G28" s="36" t="s">
        <v>285</v>
      </c>
      <c r="H28" s="43">
        <v>44234</v>
      </c>
      <c r="I28" s="41" t="s">
        <v>200</v>
      </c>
      <c r="J28" s="41" t="s">
        <v>286</v>
      </c>
      <c r="K28" s="41" t="s">
        <v>287</v>
      </c>
      <c r="L28" s="41"/>
      <c r="M28" s="41"/>
      <c r="N28" s="41"/>
      <c r="O28" s="41"/>
      <c r="P28" s="36" t="s">
        <v>288</v>
      </c>
      <c r="Q28" s="37" t="s">
        <v>213</v>
      </c>
      <c r="R28" s="39">
        <v>45356</v>
      </c>
      <c r="S28" s="38">
        <v>45356</v>
      </c>
      <c r="T28" s="37" t="s">
        <v>205</v>
      </c>
      <c r="U28" s="37" t="s">
        <v>206</v>
      </c>
      <c r="V28" s="36" t="s">
        <v>217</v>
      </c>
      <c r="W28" s="39">
        <v>45372</v>
      </c>
      <c r="X28" s="40">
        <v>4450000</v>
      </c>
      <c r="Y28" s="40">
        <v>0</v>
      </c>
      <c r="Z28" s="40">
        <v>0</v>
      </c>
      <c r="AA28" s="40">
        <v>0</v>
      </c>
      <c r="AB28" s="6"/>
      <c r="AC28" s="4"/>
      <c r="AD28" s="355">
        <v>1</v>
      </c>
    </row>
    <row r="29" spans="3:30" ht="15.75" hidden="1" x14ac:dyDescent="0.25">
      <c r="C29" s="36" t="s">
        <v>76</v>
      </c>
      <c r="D29" s="41" t="s">
        <v>77</v>
      </c>
      <c r="E29" s="38">
        <v>34362</v>
      </c>
      <c r="F29" s="42"/>
      <c r="G29" s="36" t="s">
        <v>289</v>
      </c>
      <c r="H29" s="43">
        <v>45060</v>
      </c>
      <c r="I29" s="37" t="s">
        <v>200</v>
      </c>
      <c r="J29" s="41" t="s">
        <v>290</v>
      </c>
      <c r="K29" s="41" t="s">
        <v>291</v>
      </c>
      <c r="L29" s="41"/>
      <c r="M29" s="41"/>
      <c r="N29" s="41"/>
      <c r="O29" s="41"/>
      <c r="P29" s="36" t="s">
        <v>292</v>
      </c>
      <c r="Q29" s="37" t="s">
        <v>213</v>
      </c>
      <c r="R29" s="39">
        <v>45363</v>
      </c>
      <c r="S29" s="38">
        <v>45363</v>
      </c>
      <c r="T29" s="37" t="s">
        <v>205</v>
      </c>
      <c r="U29" s="37" t="s">
        <v>206</v>
      </c>
      <c r="V29" s="36" t="s">
        <v>213</v>
      </c>
      <c r="W29" s="39" t="s">
        <v>208</v>
      </c>
      <c r="X29" s="40">
        <v>4450000</v>
      </c>
      <c r="Y29" s="40">
        <v>0</v>
      </c>
      <c r="Z29" s="40">
        <v>0</v>
      </c>
      <c r="AA29" s="40">
        <v>0</v>
      </c>
      <c r="AB29" s="6"/>
      <c r="AC29" s="4"/>
      <c r="AD29" s="355">
        <v>1</v>
      </c>
    </row>
    <row r="30" spans="3:30" ht="15.75" hidden="1" x14ac:dyDescent="0.25">
      <c r="C30" s="36" t="s">
        <v>78</v>
      </c>
      <c r="D30" s="41" t="s">
        <v>79</v>
      </c>
      <c r="E30" s="38">
        <v>32509</v>
      </c>
      <c r="F30" s="42"/>
      <c r="G30" s="36">
        <v>87189012118</v>
      </c>
      <c r="H30" s="43">
        <v>44447</v>
      </c>
      <c r="I30" s="37" t="s">
        <v>200</v>
      </c>
      <c r="J30" s="41" t="s">
        <v>293</v>
      </c>
      <c r="K30" s="41" t="s">
        <v>294</v>
      </c>
      <c r="L30" s="41"/>
      <c r="M30" s="41"/>
      <c r="N30" s="41"/>
      <c r="O30" s="41"/>
      <c r="P30" s="36" t="s">
        <v>295</v>
      </c>
      <c r="Q30" s="37" t="s">
        <v>213</v>
      </c>
      <c r="R30" s="39">
        <v>45363</v>
      </c>
      <c r="S30" s="38">
        <v>45363</v>
      </c>
      <c r="T30" s="37" t="s">
        <v>205</v>
      </c>
      <c r="U30" s="37" t="s">
        <v>206</v>
      </c>
      <c r="V30" s="36" t="s">
        <v>217</v>
      </c>
      <c r="W30" s="39">
        <v>45374</v>
      </c>
      <c r="X30" s="40">
        <v>4450000</v>
      </c>
      <c r="Y30" s="40">
        <v>0</v>
      </c>
      <c r="Z30" s="40">
        <v>0</v>
      </c>
      <c r="AA30" s="40">
        <v>0</v>
      </c>
      <c r="AB30" s="6"/>
      <c r="AC30" s="4"/>
      <c r="AD30" s="355">
        <v>1</v>
      </c>
    </row>
    <row r="31" spans="3:30" ht="15.75" hidden="1" x14ac:dyDescent="0.25">
      <c r="C31" s="36" t="s">
        <v>80</v>
      </c>
      <c r="D31" s="41" t="s">
        <v>81</v>
      </c>
      <c r="E31" s="38">
        <v>36897</v>
      </c>
      <c r="F31" s="42"/>
      <c r="G31" s="36" t="s">
        <v>296</v>
      </c>
      <c r="H31" s="43">
        <v>44721</v>
      </c>
      <c r="I31" s="37" t="s">
        <v>200</v>
      </c>
      <c r="J31" s="41" t="s">
        <v>297</v>
      </c>
      <c r="K31" s="41" t="s">
        <v>298</v>
      </c>
      <c r="L31" s="41"/>
      <c r="M31" s="41"/>
      <c r="N31" s="41"/>
      <c r="O31" s="41"/>
      <c r="P31" s="36" t="s">
        <v>299</v>
      </c>
      <c r="Q31" s="37" t="s">
        <v>213</v>
      </c>
      <c r="R31" s="39">
        <v>45363</v>
      </c>
      <c r="S31" s="38">
        <v>45363</v>
      </c>
      <c r="T31" s="37" t="s">
        <v>205</v>
      </c>
      <c r="U31" s="37" t="s">
        <v>206</v>
      </c>
      <c r="V31" s="36" t="s">
        <v>213</v>
      </c>
      <c r="W31" s="39" t="s">
        <v>208</v>
      </c>
      <c r="X31" s="40">
        <v>4450000</v>
      </c>
      <c r="Y31" s="40">
        <v>0</v>
      </c>
      <c r="Z31" s="40">
        <v>0</v>
      </c>
      <c r="AA31" s="40">
        <v>0</v>
      </c>
      <c r="AB31" s="6"/>
      <c r="AC31" s="4"/>
      <c r="AD31" s="355">
        <v>1</v>
      </c>
    </row>
    <row r="32" spans="3:30" ht="15.75" hidden="1" x14ac:dyDescent="0.25">
      <c r="C32" s="36" t="s">
        <v>82</v>
      </c>
      <c r="D32" s="41" t="s">
        <v>83</v>
      </c>
      <c r="E32" s="38">
        <v>35761</v>
      </c>
      <c r="F32" s="42"/>
      <c r="G32" s="36" t="s">
        <v>300</v>
      </c>
      <c r="H32" s="43">
        <v>44477</v>
      </c>
      <c r="I32" s="37" t="s">
        <v>200</v>
      </c>
      <c r="J32" s="41" t="s">
        <v>301</v>
      </c>
      <c r="K32" s="41" t="s">
        <v>302</v>
      </c>
      <c r="L32" s="41"/>
      <c r="M32" s="41"/>
      <c r="N32" s="41"/>
      <c r="O32" s="41"/>
      <c r="P32" s="36" t="s">
        <v>303</v>
      </c>
      <c r="Q32" s="37" t="s">
        <v>213</v>
      </c>
      <c r="R32" s="39">
        <v>45363</v>
      </c>
      <c r="S32" s="38">
        <v>45363</v>
      </c>
      <c r="T32" s="37" t="s">
        <v>205</v>
      </c>
      <c r="U32" s="37" t="s">
        <v>206</v>
      </c>
      <c r="V32" s="36" t="s">
        <v>217</v>
      </c>
      <c r="W32" s="39">
        <v>45376</v>
      </c>
      <c r="X32" s="40">
        <v>4450000</v>
      </c>
      <c r="Y32" s="40">
        <v>0</v>
      </c>
      <c r="Z32" s="40">
        <v>0</v>
      </c>
      <c r="AA32" s="40">
        <v>0</v>
      </c>
      <c r="AB32" s="6"/>
      <c r="AC32" s="4"/>
      <c r="AD32" s="355">
        <v>1</v>
      </c>
    </row>
    <row r="33" spans="3:30" ht="15.75" hidden="1" x14ac:dyDescent="0.25">
      <c r="C33" s="36" t="s">
        <v>84</v>
      </c>
      <c r="D33" s="41" t="s">
        <v>85</v>
      </c>
      <c r="E33" s="38">
        <v>33234</v>
      </c>
      <c r="F33" s="42"/>
      <c r="G33" s="36" t="s">
        <v>304</v>
      </c>
      <c r="H33" s="43">
        <v>44564</v>
      </c>
      <c r="I33" s="41" t="s">
        <v>200</v>
      </c>
      <c r="J33" s="41" t="s">
        <v>305</v>
      </c>
      <c r="K33" s="41" t="s">
        <v>306</v>
      </c>
      <c r="L33" s="41"/>
      <c r="M33" s="41"/>
      <c r="N33" s="4"/>
      <c r="O33" s="4"/>
      <c r="P33" s="36" t="s">
        <v>307</v>
      </c>
      <c r="Q33" s="37" t="s">
        <v>213</v>
      </c>
      <c r="R33" s="39">
        <v>45372</v>
      </c>
      <c r="S33" s="38">
        <v>45372</v>
      </c>
      <c r="T33" s="37" t="s">
        <v>205</v>
      </c>
      <c r="U33" s="37" t="s">
        <v>206</v>
      </c>
      <c r="V33" s="36" t="s">
        <v>213</v>
      </c>
      <c r="W33" s="39" t="s">
        <v>208</v>
      </c>
      <c r="X33" s="40">
        <v>4450000</v>
      </c>
      <c r="Y33" s="40">
        <v>0</v>
      </c>
      <c r="Z33" s="40">
        <v>0</v>
      </c>
      <c r="AA33" s="40">
        <v>0</v>
      </c>
      <c r="AB33" s="6"/>
      <c r="AC33" s="4"/>
      <c r="AD33" s="355">
        <v>1</v>
      </c>
    </row>
    <row r="34" spans="3:30" ht="15.75" hidden="1" x14ac:dyDescent="0.25">
      <c r="C34" s="36" t="s">
        <v>86</v>
      </c>
      <c r="D34" s="41" t="s">
        <v>87</v>
      </c>
      <c r="E34" s="38">
        <v>35094</v>
      </c>
      <c r="F34" s="42"/>
      <c r="G34" s="36" t="s">
        <v>308</v>
      </c>
      <c r="H34" s="43">
        <v>44522</v>
      </c>
      <c r="I34" s="41" t="s">
        <v>200</v>
      </c>
      <c r="J34" s="41" t="s">
        <v>309</v>
      </c>
      <c r="K34" s="41" t="s">
        <v>310</v>
      </c>
      <c r="L34" s="41"/>
      <c r="M34" s="41"/>
      <c r="N34" s="4"/>
      <c r="O34" s="4"/>
      <c r="P34" s="36" t="s">
        <v>311</v>
      </c>
      <c r="Q34" s="37" t="s">
        <v>213</v>
      </c>
      <c r="R34" s="39">
        <v>45372</v>
      </c>
      <c r="S34" s="38">
        <v>45372</v>
      </c>
      <c r="T34" s="37" t="s">
        <v>205</v>
      </c>
      <c r="U34" s="37" t="s">
        <v>206</v>
      </c>
      <c r="V34" s="36" t="s">
        <v>213</v>
      </c>
      <c r="W34" s="39" t="s">
        <v>208</v>
      </c>
      <c r="X34" s="40">
        <v>4450000</v>
      </c>
      <c r="Y34" s="40">
        <v>0</v>
      </c>
      <c r="Z34" s="40">
        <v>0</v>
      </c>
      <c r="AA34" s="40">
        <v>0</v>
      </c>
      <c r="AB34" s="6"/>
      <c r="AC34" s="4"/>
      <c r="AD34" s="355">
        <v>1</v>
      </c>
    </row>
    <row r="35" spans="3:30" ht="15.75" hidden="1" x14ac:dyDescent="0.25">
      <c r="C35" s="36" t="s">
        <v>88</v>
      </c>
      <c r="D35" s="41" t="s">
        <v>89</v>
      </c>
      <c r="E35" s="38">
        <v>37887</v>
      </c>
      <c r="F35" s="42"/>
      <c r="G35" s="36" t="s">
        <v>312</v>
      </c>
      <c r="H35" s="43">
        <v>44825</v>
      </c>
      <c r="I35" s="41" t="s">
        <v>200</v>
      </c>
      <c r="J35" s="41" t="s">
        <v>309</v>
      </c>
      <c r="K35" s="41" t="s">
        <v>313</v>
      </c>
      <c r="L35" s="41"/>
      <c r="M35" s="41"/>
      <c r="N35" s="4"/>
      <c r="O35" s="4"/>
      <c r="P35" s="36" t="s">
        <v>314</v>
      </c>
      <c r="Q35" s="37" t="s">
        <v>213</v>
      </c>
      <c r="R35" s="39">
        <v>45372</v>
      </c>
      <c r="S35" s="38">
        <v>45372</v>
      </c>
      <c r="T35" s="37" t="s">
        <v>205</v>
      </c>
      <c r="U35" s="37" t="s">
        <v>206</v>
      </c>
      <c r="V35" s="36" t="s">
        <v>213</v>
      </c>
      <c r="W35" s="39" t="s">
        <v>208</v>
      </c>
      <c r="X35" s="40">
        <v>4450000</v>
      </c>
      <c r="Y35" s="40">
        <v>0</v>
      </c>
      <c r="Z35" s="40">
        <v>0</v>
      </c>
      <c r="AA35" s="40">
        <v>0</v>
      </c>
      <c r="AB35" s="6"/>
      <c r="AC35" s="4"/>
      <c r="AD35" s="355">
        <v>1</v>
      </c>
    </row>
    <row r="36" spans="3:30" ht="15.75" hidden="1" x14ac:dyDescent="0.25">
      <c r="C36" s="9" t="s">
        <v>315</v>
      </c>
      <c r="D36" s="4" t="s">
        <v>316</v>
      </c>
      <c r="E36" s="7">
        <v>28126</v>
      </c>
      <c r="F36" s="8"/>
      <c r="G36" s="9"/>
      <c r="H36" s="10"/>
      <c r="I36" s="4"/>
      <c r="J36" s="4"/>
      <c r="K36" s="4"/>
      <c r="L36" s="4"/>
      <c r="M36" s="4"/>
      <c r="N36" s="4"/>
      <c r="O36" s="4"/>
      <c r="P36" s="36">
        <v>0</v>
      </c>
      <c r="Q36" s="37">
        <v>0</v>
      </c>
      <c r="R36" s="39">
        <v>0</v>
      </c>
      <c r="S36" s="38">
        <v>0</v>
      </c>
      <c r="T36" s="37" t="s">
        <v>205</v>
      </c>
      <c r="U36" s="37" t="s">
        <v>206</v>
      </c>
      <c r="V36" s="36" t="s">
        <v>217</v>
      </c>
      <c r="W36" s="39">
        <v>0</v>
      </c>
      <c r="X36" s="40">
        <v>0</v>
      </c>
      <c r="Y36" s="40">
        <v>0</v>
      </c>
      <c r="Z36" s="40">
        <v>0</v>
      </c>
      <c r="AA36" s="40">
        <v>0</v>
      </c>
      <c r="AB36" s="6"/>
      <c r="AC36" s="4"/>
      <c r="AD36" s="355">
        <v>1</v>
      </c>
    </row>
    <row r="37" spans="3:30" ht="15.75" x14ac:dyDescent="0.25">
      <c r="C37" s="36" t="s">
        <v>90</v>
      </c>
      <c r="D37" s="41" t="s">
        <v>91</v>
      </c>
      <c r="E37" s="38">
        <v>35246</v>
      </c>
      <c r="F37" s="42"/>
      <c r="G37" s="36" t="s">
        <v>317</v>
      </c>
      <c r="H37" s="43">
        <v>44325</v>
      </c>
      <c r="I37" s="41" t="s">
        <v>200</v>
      </c>
      <c r="J37" s="41" t="s">
        <v>318</v>
      </c>
      <c r="K37" s="41" t="s">
        <v>319</v>
      </c>
      <c r="L37" s="41"/>
      <c r="M37" s="41"/>
      <c r="N37" s="4"/>
      <c r="O37" s="4"/>
      <c r="P37" s="36">
        <v>20</v>
      </c>
      <c r="Q37" s="41" t="s">
        <v>204</v>
      </c>
      <c r="R37" s="43">
        <v>45310</v>
      </c>
      <c r="S37" s="38">
        <v>45310</v>
      </c>
      <c r="T37" s="41" t="s">
        <v>205</v>
      </c>
      <c r="U37" s="41" t="s">
        <v>206</v>
      </c>
      <c r="V37" s="36" t="s">
        <v>207</v>
      </c>
      <c r="W37" s="43" t="s">
        <v>208</v>
      </c>
      <c r="X37" s="45">
        <v>4450000</v>
      </c>
      <c r="Y37" s="45">
        <v>0</v>
      </c>
      <c r="Z37" s="45">
        <v>0</v>
      </c>
      <c r="AA37" s="41">
        <v>0</v>
      </c>
      <c r="AB37" s="4"/>
      <c r="AC37" s="4"/>
      <c r="AD37" s="355">
        <v>1</v>
      </c>
    </row>
    <row r="38" spans="3:30" ht="15.75" hidden="1" x14ac:dyDescent="0.25">
      <c r="C38" s="36" t="s">
        <v>92</v>
      </c>
      <c r="D38" s="41" t="s">
        <v>93</v>
      </c>
      <c r="E38" s="38">
        <v>36054</v>
      </c>
      <c r="F38" s="42"/>
      <c r="G38" s="36" t="s">
        <v>320</v>
      </c>
      <c r="H38" s="43">
        <v>44794</v>
      </c>
      <c r="I38" s="41" t="s">
        <v>200</v>
      </c>
      <c r="J38" s="41" t="s">
        <v>321</v>
      </c>
      <c r="K38" s="41" t="s">
        <v>322</v>
      </c>
      <c r="L38" s="41"/>
      <c r="M38" s="41"/>
      <c r="N38" s="41"/>
      <c r="O38" s="41"/>
      <c r="P38" s="36">
        <v>8</v>
      </c>
      <c r="Q38" s="41" t="s">
        <v>213</v>
      </c>
      <c r="R38" s="43">
        <v>45310</v>
      </c>
      <c r="S38" s="38">
        <v>45310</v>
      </c>
      <c r="T38" s="41" t="s">
        <v>205</v>
      </c>
      <c r="U38" s="41" t="s">
        <v>206</v>
      </c>
      <c r="V38" s="36" t="s">
        <v>213</v>
      </c>
      <c r="W38" s="43" t="s">
        <v>208</v>
      </c>
      <c r="X38" s="45">
        <v>4450000</v>
      </c>
      <c r="Y38" s="45">
        <v>0</v>
      </c>
      <c r="Z38" s="45">
        <v>0</v>
      </c>
      <c r="AA38" s="41">
        <v>0</v>
      </c>
      <c r="AB38" s="4"/>
      <c r="AC38" s="4"/>
      <c r="AD38" s="355">
        <v>1</v>
      </c>
    </row>
    <row r="39" spans="3:30" ht="15.75" x14ac:dyDescent="0.25">
      <c r="C39" s="36" t="s">
        <v>94</v>
      </c>
      <c r="D39" s="41" t="s">
        <v>95</v>
      </c>
      <c r="E39" s="38">
        <v>38604</v>
      </c>
      <c r="F39" s="42"/>
      <c r="G39" s="36" t="s">
        <v>323</v>
      </c>
      <c r="H39" s="43">
        <v>44312</v>
      </c>
      <c r="I39" s="41" t="s">
        <v>200</v>
      </c>
      <c r="J39" s="41" t="s">
        <v>324</v>
      </c>
      <c r="K39" s="41" t="s">
        <v>325</v>
      </c>
      <c r="L39" s="41"/>
      <c r="M39" s="41"/>
      <c r="N39" s="41"/>
      <c r="O39" s="41"/>
      <c r="P39" s="36" t="s">
        <v>326</v>
      </c>
      <c r="Q39" s="41" t="s">
        <v>204</v>
      </c>
      <c r="R39" s="43">
        <v>45292</v>
      </c>
      <c r="S39" s="38">
        <v>45292</v>
      </c>
      <c r="T39" s="41" t="s">
        <v>205</v>
      </c>
      <c r="U39" s="41" t="s">
        <v>206</v>
      </c>
      <c r="V39" s="36" t="s">
        <v>207</v>
      </c>
      <c r="W39" s="43" t="s">
        <v>208</v>
      </c>
      <c r="X39" s="45">
        <v>4450000</v>
      </c>
      <c r="Y39" s="45">
        <v>0</v>
      </c>
      <c r="Z39" s="45">
        <v>0</v>
      </c>
      <c r="AA39" s="41">
        <v>0</v>
      </c>
      <c r="AB39" s="4"/>
      <c r="AC39" s="4"/>
      <c r="AD39" s="355">
        <v>1</v>
      </c>
    </row>
    <row r="40" spans="3:30" ht="15.75" x14ac:dyDescent="0.25">
      <c r="C40" s="36" t="s">
        <v>96</v>
      </c>
      <c r="D40" s="41" t="s">
        <v>97</v>
      </c>
      <c r="E40" s="47">
        <v>35065</v>
      </c>
      <c r="F40" s="42"/>
      <c r="G40" s="48" t="s">
        <v>327</v>
      </c>
      <c r="H40" s="49">
        <v>44929</v>
      </c>
      <c r="I40" s="46" t="s">
        <v>200</v>
      </c>
      <c r="J40" s="46" t="s">
        <v>328</v>
      </c>
      <c r="K40" s="46" t="s">
        <v>329</v>
      </c>
      <c r="L40" s="46"/>
      <c r="M40" s="46"/>
      <c r="N40" s="46"/>
      <c r="O40" s="4"/>
      <c r="P40" s="36" t="s">
        <v>330</v>
      </c>
      <c r="Q40" s="41" t="s">
        <v>204</v>
      </c>
      <c r="R40" s="43">
        <v>45352</v>
      </c>
      <c r="S40" s="38">
        <v>45352</v>
      </c>
      <c r="T40" s="41" t="s">
        <v>205</v>
      </c>
      <c r="U40" s="41" t="s">
        <v>206</v>
      </c>
      <c r="V40" s="36" t="s">
        <v>207</v>
      </c>
      <c r="W40" s="43" t="s">
        <v>208</v>
      </c>
      <c r="X40" s="45">
        <v>4450000</v>
      </c>
      <c r="Y40" s="45">
        <v>0</v>
      </c>
      <c r="Z40" s="45">
        <v>0</v>
      </c>
      <c r="AA40" s="41">
        <v>0</v>
      </c>
      <c r="AB40" s="4"/>
      <c r="AC40" s="4"/>
      <c r="AD40" s="355">
        <v>1</v>
      </c>
    </row>
    <row r="41" spans="3:30" ht="15.75" x14ac:dyDescent="0.25">
      <c r="C41" s="36" t="s">
        <v>98</v>
      </c>
      <c r="D41" s="41" t="s">
        <v>99</v>
      </c>
      <c r="E41" s="47">
        <v>32505</v>
      </c>
      <c r="F41" s="42"/>
      <c r="G41" s="48" t="s">
        <v>331</v>
      </c>
      <c r="H41" s="49">
        <v>44808</v>
      </c>
      <c r="I41" s="46" t="s">
        <v>200</v>
      </c>
      <c r="J41" s="46" t="s">
        <v>332</v>
      </c>
      <c r="K41" s="46" t="s">
        <v>333</v>
      </c>
      <c r="L41" s="46"/>
      <c r="M41" s="46"/>
      <c r="N41" s="46"/>
      <c r="O41" s="4"/>
      <c r="P41" s="36" t="s">
        <v>334</v>
      </c>
      <c r="Q41" s="41" t="s">
        <v>204</v>
      </c>
      <c r="R41" s="43">
        <v>45310</v>
      </c>
      <c r="S41" s="38">
        <v>45310</v>
      </c>
      <c r="T41" s="41" t="s">
        <v>205</v>
      </c>
      <c r="U41" s="41" t="s">
        <v>206</v>
      </c>
      <c r="V41" s="36" t="s">
        <v>207</v>
      </c>
      <c r="W41" s="43" t="s">
        <v>208</v>
      </c>
      <c r="X41" s="45">
        <v>4450000</v>
      </c>
      <c r="Y41" s="45">
        <v>0</v>
      </c>
      <c r="Z41" s="45">
        <v>0</v>
      </c>
      <c r="AA41" s="41">
        <v>0</v>
      </c>
      <c r="AB41" s="4"/>
      <c r="AC41" s="4"/>
      <c r="AD41" s="355">
        <v>1</v>
      </c>
    </row>
    <row r="42" spans="3:30" ht="15.75" hidden="1" x14ac:dyDescent="0.25">
      <c r="C42" s="36" t="s">
        <v>100</v>
      </c>
      <c r="D42" s="41" t="s">
        <v>101</v>
      </c>
      <c r="E42" s="47">
        <v>31778</v>
      </c>
      <c r="F42" s="42"/>
      <c r="G42" s="48" t="s">
        <v>335</v>
      </c>
      <c r="H42" s="49">
        <v>44858</v>
      </c>
      <c r="I42" s="46" t="s">
        <v>200</v>
      </c>
      <c r="J42" s="46" t="s">
        <v>336</v>
      </c>
      <c r="K42" s="46" t="s">
        <v>337</v>
      </c>
      <c r="L42" s="46"/>
      <c r="M42" s="46"/>
      <c r="N42" s="46"/>
      <c r="O42" s="46"/>
      <c r="P42" s="36" t="s">
        <v>338</v>
      </c>
      <c r="Q42" s="41" t="s">
        <v>213</v>
      </c>
      <c r="R42" s="43">
        <v>45351</v>
      </c>
      <c r="S42" s="38">
        <v>45351</v>
      </c>
      <c r="T42" s="41" t="s">
        <v>205</v>
      </c>
      <c r="U42" s="41" t="s">
        <v>206</v>
      </c>
      <c r="V42" s="36" t="s">
        <v>213</v>
      </c>
      <c r="W42" s="43" t="s">
        <v>208</v>
      </c>
      <c r="X42" s="45">
        <v>4450000</v>
      </c>
      <c r="Y42" s="45">
        <v>0</v>
      </c>
      <c r="Z42" s="45">
        <v>0</v>
      </c>
      <c r="AA42" s="41">
        <v>0</v>
      </c>
      <c r="AB42" s="4"/>
      <c r="AC42" s="4"/>
      <c r="AD42" s="355">
        <v>1</v>
      </c>
    </row>
    <row r="43" spans="3:30" ht="15.75" hidden="1" x14ac:dyDescent="0.25">
      <c r="C43" s="5" t="s">
        <v>102</v>
      </c>
      <c r="D43" s="55" t="s">
        <v>103</v>
      </c>
      <c r="E43" s="56">
        <v>36678</v>
      </c>
      <c r="F43" s="8"/>
      <c r="G43" s="5" t="s">
        <v>339</v>
      </c>
      <c r="H43" s="57">
        <v>44538</v>
      </c>
      <c r="I43" s="55" t="s">
        <v>200</v>
      </c>
      <c r="J43" s="55" t="s">
        <v>340</v>
      </c>
      <c r="K43" s="55" t="s">
        <v>340</v>
      </c>
      <c r="L43" s="55"/>
      <c r="M43" s="55"/>
      <c r="N43" s="4"/>
      <c r="O43" s="4"/>
      <c r="P43" s="36" t="s">
        <v>341</v>
      </c>
      <c r="Q43" s="41" t="s">
        <v>213</v>
      </c>
      <c r="R43" s="43">
        <v>45294</v>
      </c>
      <c r="S43" s="38">
        <v>45294</v>
      </c>
      <c r="T43" s="41" t="s">
        <v>205</v>
      </c>
      <c r="U43" s="41" t="s">
        <v>206</v>
      </c>
      <c r="V43" s="36" t="s">
        <v>213</v>
      </c>
      <c r="W43" s="43" t="s">
        <v>208</v>
      </c>
      <c r="X43" s="45">
        <v>4450000</v>
      </c>
      <c r="Y43" s="45">
        <v>0</v>
      </c>
      <c r="Z43" s="45">
        <v>0</v>
      </c>
      <c r="AA43" s="41">
        <v>0</v>
      </c>
      <c r="AB43" s="4"/>
      <c r="AC43" s="4"/>
      <c r="AD43" s="355">
        <v>1</v>
      </c>
    </row>
    <row r="44" spans="3:30" ht="15.75" hidden="1" x14ac:dyDescent="0.25">
      <c r="C44" s="36" t="s">
        <v>104</v>
      </c>
      <c r="D44" s="41" t="s">
        <v>105</v>
      </c>
      <c r="E44" s="38">
        <v>44285</v>
      </c>
      <c r="F44" s="42"/>
      <c r="G44" s="36" t="s">
        <v>342</v>
      </c>
      <c r="H44" s="43">
        <v>44421</v>
      </c>
      <c r="I44" s="41" t="s">
        <v>200</v>
      </c>
      <c r="J44" s="41" t="s">
        <v>343</v>
      </c>
      <c r="K44" s="41" t="s">
        <v>344</v>
      </c>
      <c r="L44" s="41"/>
      <c r="M44" s="41"/>
      <c r="N44" s="4"/>
      <c r="O44" s="4"/>
      <c r="P44" s="36" t="s">
        <v>345</v>
      </c>
      <c r="Q44" s="41" t="s">
        <v>213</v>
      </c>
      <c r="R44" s="43">
        <v>45372</v>
      </c>
      <c r="S44" s="38">
        <v>45372</v>
      </c>
      <c r="T44" s="41" t="s">
        <v>205</v>
      </c>
      <c r="U44" s="41" t="s">
        <v>206</v>
      </c>
      <c r="V44" s="36" t="s">
        <v>213</v>
      </c>
      <c r="W44" s="43" t="s">
        <v>208</v>
      </c>
      <c r="X44" s="45">
        <v>4450000</v>
      </c>
      <c r="Y44" s="45">
        <v>0</v>
      </c>
      <c r="Z44" s="45">
        <v>0</v>
      </c>
      <c r="AA44" s="41">
        <v>0</v>
      </c>
      <c r="AB44" s="4"/>
      <c r="AC44" s="4"/>
      <c r="AD44" s="355">
        <v>1</v>
      </c>
    </row>
    <row r="45" spans="3:30" ht="15.75" x14ac:dyDescent="0.25">
      <c r="C45" s="36" t="s">
        <v>346</v>
      </c>
      <c r="D45" s="37" t="s">
        <v>347</v>
      </c>
      <c r="E45" s="38">
        <v>31386</v>
      </c>
      <c r="F45" s="36"/>
      <c r="G45" s="44">
        <v>79085029777</v>
      </c>
      <c r="H45" s="39">
        <v>44620</v>
      </c>
      <c r="I45" s="37" t="s">
        <v>348</v>
      </c>
      <c r="J45" s="37" t="s">
        <v>349</v>
      </c>
      <c r="K45" s="37" t="s">
        <v>350</v>
      </c>
      <c r="L45" s="37"/>
      <c r="M45" s="37"/>
      <c r="N45" s="37"/>
      <c r="O45" s="37"/>
      <c r="P45" s="36" t="s">
        <v>351</v>
      </c>
      <c r="Q45" s="41" t="s">
        <v>204</v>
      </c>
      <c r="R45" s="43">
        <v>45352</v>
      </c>
      <c r="S45" s="38">
        <v>45306</v>
      </c>
      <c r="T45" s="41" t="s">
        <v>352</v>
      </c>
      <c r="U45" s="41" t="s">
        <v>206</v>
      </c>
      <c r="V45" s="36" t="s">
        <v>207</v>
      </c>
      <c r="W45" s="43" t="s">
        <v>208</v>
      </c>
      <c r="X45" s="45">
        <v>4450000</v>
      </c>
      <c r="Y45" s="45">
        <v>250000</v>
      </c>
      <c r="Z45" s="45">
        <v>500000</v>
      </c>
      <c r="AA45" s="41">
        <v>300000</v>
      </c>
      <c r="AB45" s="4"/>
      <c r="AC45" s="4"/>
      <c r="AD45" s="355">
        <v>1</v>
      </c>
    </row>
    <row r="46" spans="3:30" ht="15.75" x14ac:dyDescent="0.25">
      <c r="C46" s="36" t="s">
        <v>106</v>
      </c>
      <c r="D46" s="37" t="s">
        <v>107</v>
      </c>
      <c r="E46" s="38">
        <v>34838</v>
      </c>
      <c r="F46" s="36"/>
      <c r="G46" s="36" t="s">
        <v>353</v>
      </c>
      <c r="H46" s="39">
        <v>44291</v>
      </c>
      <c r="I46" s="37" t="s">
        <v>200</v>
      </c>
      <c r="J46" s="37" t="s">
        <v>318</v>
      </c>
      <c r="K46" s="37" t="s">
        <v>354</v>
      </c>
      <c r="L46" s="37"/>
      <c r="M46" s="37"/>
      <c r="N46" s="37"/>
      <c r="O46" s="37"/>
      <c r="P46" s="36">
        <v>19</v>
      </c>
      <c r="Q46" s="41" t="s">
        <v>204</v>
      </c>
      <c r="R46" s="43">
        <v>45352</v>
      </c>
      <c r="S46" s="38">
        <v>45352</v>
      </c>
      <c r="T46" s="41" t="s">
        <v>205</v>
      </c>
      <c r="U46" s="41" t="s">
        <v>206</v>
      </c>
      <c r="V46" s="36" t="s">
        <v>207</v>
      </c>
      <c r="W46" s="43" t="s">
        <v>208</v>
      </c>
      <c r="X46" s="45">
        <v>4450000</v>
      </c>
      <c r="Y46" s="45">
        <v>250000</v>
      </c>
      <c r="Z46" s="45">
        <v>500000</v>
      </c>
      <c r="AA46" s="41">
        <v>1000000</v>
      </c>
      <c r="AB46" s="4"/>
      <c r="AC46" s="4"/>
      <c r="AD46" s="355">
        <v>1</v>
      </c>
    </row>
    <row r="47" spans="3:30" ht="15.75" x14ac:dyDescent="0.25">
      <c r="C47" s="36" t="s">
        <v>108</v>
      </c>
      <c r="D47" s="37" t="s">
        <v>109</v>
      </c>
      <c r="E47" s="38">
        <v>32874</v>
      </c>
      <c r="F47" s="36"/>
      <c r="G47" s="44">
        <v>89190010995</v>
      </c>
      <c r="H47" s="39">
        <v>44428</v>
      </c>
      <c r="I47" s="37" t="s">
        <v>355</v>
      </c>
      <c r="J47" s="37" t="s">
        <v>321</v>
      </c>
      <c r="K47" s="37" t="s">
        <v>356</v>
      </c>
      <c r="L47" s="37"/>
      <c r="M47" s="37"/>
      <c r="N47" s="37"/>
      <c r="O47" s="37"/>
      <c r="P47" s="36">
        <v>5</v>
      </c>
      <c r="Q47" s="41" t="s">
        <v>204</v>
      </c>
      <c r="R47" s="43">
        <v>45352</v>
      </c>
      <c r="S47" s="38">
        <v>45306</v>
      </c>
      <c r="T47" s="41" t="s">
        <v>205</v>
      </c>
      <c r="U47" s="41" t="s">
        <v>206</v>
      </c>
      <c r="V47" s="36" t="s">
        <v>207</v>
      </c>
      <c r="W47" s="43" t="s">
        <v>208</v>
      </c>
      <c r="X47" s="45">
        <v>4450000</v>
      </c>
      <c r="Y47" s="45">
        <v>250000</v>
      </c>
      <c r="Z47" s="45">
        <v>300000</v>
      </c>
      <c r="AA47" s="41">
        <v>300000</v>
      </c>
      <c r="AB47" s="4"/>
      <c r="AC47" s="4"/>
      <c r="AD47" s="355">
        <v>1</v>
      </c>
    </row>
    <row r="48" spans="3:30" ht="15.75" hidden="1" x14ac:dyDescent="0.25">
      <c r="C48" s="36" t="s">
        <v>110</v>
      </c>
      <c r="D48" s="37" t="s">
        <v>111</v>
      </c>
      <c r="E48" s="38">
        <v>27273</v>
      </c>
      <c r="F48" s="36"/>
      <c r="G48" s="36">
        <v>79174013159</v>
      </c>
      <c r="H48" s="39">
        <v>44387</v>
      </c>
      <c r="I48" s="37" t="s">
        <v>348</v>
      </c>
      <c r="J48" s="37" t="s">
        <v>357</v>
      </c>
      <c r="K48" s="37" t="s">
        <v>358</v>
      </c>
      <c r="L48" s="37"/>
      <c r="M48" s="37"/>
      <c r="N48" s="37"/>
      <c r="O48" s="37"/>
      <c r="P48" s="36">
        <v>15</v>
      </c>
      <c r="Q48" s="41" t="s">
        <v>359</v>
      </c>
      <c r="R48" s="43">
        <v>0</v>
      </c>
      <c r="S48" s="38">
        <v>0</v>
      </c>
      <c r="T48" s="41" t="s">
        <v>205</v>
      </c>
      <c r="U48" s="41" t="s">
        <v>206</v>
      </c>
      <c r="V48" s="36" t="s">
        <v>207</v>
      </c>
      <c r="W48" s="43" t="s">
        <v>208</v>
      </c>
      <c r="X48" s="45">
        <v>4450000</v>
      </c>
      <c r="Y48" s="45">
        <v>250000</v>
      </c>
      <c r="Z48" s="45">
        <v>500000</v>
      </c>
      <c r="AA48" s="41">
        <v>300000</v>
      </c>
      <c r="AB48" s="4"/>
      <c r="AC48" s="4"/>
      <c r="AD48" s="355">
        <v>1</v>
      </c>
    </row>
    <row r="49" spans="3:30" ht="15.75" hidden="1" x14ac:dyDescent="0.25">
      <c r="C49" s="36" t="s">
        <v>112</v>
      </c>
      <c r="D49" s="37" t="s">
        <v>113</v>
      </c>
      <c r="E49" s="38">
        <v>37328</v>
      </c>
      <c r="F49" s="36"/>
      <c r="G49" s="36">
        <v>52202003184</v>
      </c>
      <c r="H49" s="39">
        <v>44986</v>
      </c>
      <c r="I49" s="37" t="s">
        <v>200</v>
      </c>
      <c r="J49" s="37" t="s">
        <v>360</v>
      </c>
      <c r="K49" s="37" t="s">
        <v>361</v>
      </c>
      <c r="L49" s="37"/>
      <c r="M49" s="37"/>
      <c r="N49" s="37"/>
      <c r="O49" s="37"/>
      <c r="P49" s="36" t="s">
        <v>362</v>
      </c>
      <c r="Q49" s="41" t="s">
        <v>213</v>
      </c>
      <c r="R49" s="43">
        <v>45348</v>
      </c>
      <c r="S49" s="38">
        <v>45348</v>
      </c>
      <c r="T49" s="41" t="s">
        <v>205</v>
      </c>
      <c r="U49" s="41" t="s">
        <v>206</v>
      </c>
      <c r="V49" s="36" t="s">
        <v>213</v>
      </c>
      <c r="W49" s="43" t="s">
        <v>208</v>
      </c>
      <c r="X49" s="45">
        <v>4450000</v>
      </c>
      <c r="Y49" s="45">
        <v>0</v>
      </c>
      <c r="Z49" s="45">
        <v>0</v>
      </c>
      <c r="AA49" s="41">
        <v>0</v>
      </c>
      <c r="AB49" s="4"/>
      <c r="AC49" s="4"/>
      <c r="AD49" s="355">
        <v>1</v>
      </c>
    </row>
    <row r="50" spans="3:30" ht="15.75" hidden="1" x14ac:dyDescent="0.25">
      <c r="C50" s="36" t="s">
        <v>114</v>
      </c>
      <c r="D50" s="37" t="s">
        <v>115</v>
      </c>
      <c r="E50" s="38">
        <v>35731</v>
      </c>
      <c r="F50" s="36"/>
      <c r="G50" s="36">
        <v>52097006228</v>
      </c>
      <c r="H50" s="39">
        <v>45031</v>
      </c>
      <c r="I50" s="37" t="s">
        <v>200</v>
      </c>
      <c r="J50" s="37" t="s">
        <v>363</v>
      </c>
      <c r="K50" s="37" t="s">
        <v>364</v>
      </c>
      <c r="L50" s="37"/>
      <c r="M50" s="37"/>
      <c r="N50" s="37"/>
      <c r="O50" s="37"/>
      <c r="P50" s="36" t="s">
        <v>365</v>
      </c>
      <c r="Q50" s="41" t="s">
        <v>213</v>
      </c>
      <c r="R50" s="43">
        <v>45348</v>
      </c>
      <c r="S50" s="38">
        <v>45348</v>
      </c>
      <c r="T50" s="41" t="s">
        <v>205</v>
      </c>
      <c r="U50" s="41" t="s">
        <v>206</v>
      </c>
      <c r="V50" s="36" t="s">
        <v>213</v>
      </c>
      <c r="W50" s="43" t="s">
        <v>208</v>
      </c>
      <c r="X50" s="45">
        <v>4450000</v>
      </c>
      <c r="Y50" s="45">
        <v>0</v>
      </c>
      <c r="Z50" s="45">
        <v>0</v>
      </c>
      <c r="AA50" s="41">
        <v>0</v>
      </c>
      <c r="AB50" s="4"/>
      <c r="AC50" s="4"/>
      <c r="AD50" s="355">
        <v>1</v>
      </c>
    </row>
    <row r="51" spans="3:30" ht="15.75" hidden="1" x14ac:dyDescent="0.25">
      <c r="C51" s="36" t="s">
        <v>116</v>
      </c>
      <c r="D51" s="37" t="s">
        <v>117</v>
      </c>
      <c r="E51" s="38">
        <v>28491</v>
      </c>
      <c r="F51" s="36"/>
      <c r="G51" s="36">
        <v>91178020888</v>
      </c>
      <c r="H51" s="39">
        <v>45110</v>
      </c>
      <c r="I51" s="37" t="s">
        <v>200</v>
      </c>
      <c r="J51" s="37" t="s">
        <v>366</v>
      </c>
      <c r="K51" s="37" t="s">
        <v>367</v>
      </c>
      <c r="L51" s="37"/>
      <c r="M51" s="37"/>
      <c r="N51" s="37"/>
      <c r="O51" s="37"/>
      <c r="P51" s="36" t="s">
        <v>368</v>
      </c>
      <c r="Q51" s="41" t="s">
        <v>213</v>
      </c>
      <c r="R51" s="43">
        <v>45343</v>
      </c>
      <c r="S51" s="38">
        <v>45343</v>
      </c>
      <c r="T51" s="41" t="s">
        <v>205</v>
      </c>
      <c r="U51" s="41" t="s">
        <v>206</v>
      </c>
      <c r="V51" s="36" t="s">
        <v>213</v>
      </c>
      <c r="W51" s="43" t="s">
        <v>208</v>
      </c>
      <c r="X51" s="45">
        <v>4450000</v>
      </c>
      <c r="Y51" s="45">
        <v>0</v>
      </c>
      <c r="Z51" s="45">
        <v>0</v>
      </c>
      <c r="AA51" s="41">
        <v>0</v>
      </c>
      <c r="AB51" s="4"/>
      <c r="AC51" s="4"/>
      <c r="AD51" s="355">
        <v>1</v>
      </c>
    </row>
    <row r="52" spans="3:30" ht="15.75" hidden="1" x14ac:dyDescent="0.25">
      <c r="C52" s="36" t="s">
        <v>118</v>
      </c>
      <c r="D52" s="37" t="s">
        <v>119</v>
      </c>
      <c r="E52" s="38">
        <v>27395</v>
      </c>
      <c r="F52" s="36"/>
      <c r="G52" s="36">
        <v>91075014286</v>
      </c>
      <c r="H52" s="39">
        <v>44447</v>
      </c>
      <c r="I52" s="37" t="s">
        <v>200</v>
      </c>
      <c r="J52" s="37" t="s">
        <v>369</v>
      </c>
      <c r="K52" s="37" t="s">
        <v>370</v>
      </c>
      <c r="L52" s="37"/>
      <c r="M52" s="37"/>
      <c r="N52" s="37"/>
      <c r="O52" s="37"/>
      <c r="P52" s="36" t="s">
        <v>371</v>
      </c>
      <c r="Q52" s="41" t="s">
        <v>213</v>
      </c>
      <c r="R52" s="43">
        <v>45345</v>
      </c>
      <c r="S52" s="38">
        <v>45345</v>
      </c>
      <c r="T52" s="41" t="s">
        <v>205</v>
      </c>
      <c r="U52" s="41" t="s">
        <v>206</v>
      </c>
      <c r="V52" s="36" t="s">
        <v>213</v>
      </c>
      <c r="W52" s="43" t="s">
        <v>208</v>
      </c>
      <c r="X52" s="45">
        <v>4450000</v>
      </c>
      <c r="Y52" s="45">
        <v>0</v>
      </c>
      <c r="Z52" s="45">
        <v>0</v>
      </c>
      <c r="AA52" s="41">
        <v>0</v>
      </c>
      <c r="AB52" s="4"/>
      <c r="AC52" s="4"/>
      <c r="AD52" s="355">
        <v>1</v>
      </c>
    </row>
    <row r="53" spans="3:30" ht="15.75" hidden="1" x14ac:dyDescent="0.25">
      <c r="C53" s="36" t="s">
        <v>120</v>
      </c>
      <c r="D53" s="37" t="s">
        <v>121</v>
      </c>
      <c r="E53" s="38">
        <v>31377</v>
      </c>
      <c r="F53" s="36"/>
      <c r="G53" s="44">
        <v>95085002090</v>
      </c>
      <c r="H53" s="39">
        <v>45077</v>
      </c>
      <c r="I53" s="37" t="s">
        <v>200</v>
      </c>
      <c r="J53" s="37" t="s">
        <v>372</v>
      </c>
      <c r="K53" s="37" t="s">
        <v>373</v>
      </c>
      <c r="L53" s="37"/>
      <c r="M53" s="37"/>
      <c r="N53" s="37"/>
      <c r="O53" s="37"/>
      <c r="P53" s="36" t="s">
        <v>374</v>
      </c>
      <c r="Q53" s="41" t="s">
        <v>213</v>
      </c>
      <c r="R53" s="43">
        <v>45338</v>
      </c>
      <c r="S53" s="38">
        <v>45338</v>
      </c>
      <c r="T53" s="41" t="s">
        <v>205</v>
      </c>
      <c r="U53" s="41" t="s">
        <v>206</v>
      </c>
      <c r="V53" s="36" t="s">
        <v>213</v>
      </c>
      <c r="W53" s="43" t="s">
        <v>208</v>
      </c>
      <c r="X53" s="45">
        <v>4450000</v>
      </c>
      <c r="Y53" s="45">
        <v>0</v>
      </c>
      <c r="Z53" s="45">
        <v>0</v>
      </c>
      <c r="AA53" s="41">
        <v>0</v>
      </c>
      <c r="AB53" s="4"/>
      <c r="AC53" s="4"/>
      <c r="AD53" s="355">
        <v>1</v>
      </c>
    </row>
    <row r="54" spans="3:30" ht="15.75" hidden="1" x14ac:dyDescent="0.25">
      <c r="C54" s="36" t="s">
        <v>122</v>
      </c>
      <c r="D54" s="37" t="s">
        <v>123</v>
      </c>
      <c r="E54" s="38">
        <v>28126</v>
      </c>
      <c r="F54" s="36"/>
      <c r="G54" s="36">
        <v>341580965</v>
      </c>
      <c r="H54" s="39">
        <v>44024</v>
      </c>
      <c r="I54" s="37" t="s">
        <v>200</v>
      </c>
      <c r="J54" s="37" t="s">
        <v>282</v>
      </c>
      <c r="K54" s="37" t="s">
        <v>375</v>
      </c>
      <c r="L54" s="37"/>
      <c r="M54" s="37"/>
      <c r="N54" s="37"/>
      <c r="O54" s="37"/>
      <c r="P54" s="36" t="s">
        <v>376</v>
      </c>
      <c r="Q54" s="41" t="s">
        <v>213</v>
      </c>
      <c r="R54" s="43">
        <v>45349</v>
      </c>
      <c r="S54" s="38">
        <v>45349</v>
      </c>
      <c r="T54" s="41" t="s">
        <v>205</v>
      </c>
      <c r="U54" s="41" t="s">
        <v>206</v>
      </c>
      <c r="V54" s="36" t="s">
        <v>213</v>
      </c>
      <c r="W54" s="43" t="s">
        <v>208</v>
      </c>
      <c r="X54" s="45">
        <v>4450000</v>
      </c>
      <c r="Y54" s="45">
        <v>0</v>
      </c>
      <c r="Z54" s="45">
        <v>0</v>
      </c>
      <c r="AA54" s="41">
        <v>0</v>
      </c>
      <c r="AB54" s="4"/>
      <c r="AC54" s="4"/>
      <c r="AD54" s="355">
        <v>1</v>
      </c>
    </row>
    <row r="55" spans="3:30" ht="15.75" hidden="1" x14ac:dyDescent="0.25">
      <c r="C55" s="36" t="s">
        <v>124</v>
      </c>
      <c r="D55" s="37" t="s">
        <v>125</v>
      </c>
      <c r="E55" s="38">
        <v>32672</v>
      </c>
      <c r="F55" s="36"/>
      <c r="G55" s="36">
        <v>79089003347</v>
      </c>
      <c r="H55" s="39">
        <v>44581</v>
      </c>
      <c r="I55" s="37" t="s">
        <v>200</v>
      </c>
      <c r="J55" s="37" t="s">
        <v>201</v>
      </c>
      <c r="K55" s="37" t="s">
        <v>377</v>
      </c>
      <c r="L55" s="37"/>
      <c r="M55" s="37"/>
      <c r="N55" s="37"/>
      <c r="O55" s="37"/>
      <c r="P55" s="36" t="s">
        <v>378</v>
      </c>
      <c r="Q55" s="41" t="s">
        <v>213</v>
      </c>
      <c r="R55" s="43">
        <v>45337</v>
      </c>
      <c r="S55" s="38">
        <v>45337</v>
      </c>
      <c r="T55" s="41" t="s">
        <v>205</v>
      </c>
      <c r="U55" s="41" t="s">
        <v>206</v>
      </c>
      <c r="V55" s="36" t="s">
        <v>213</v>
      </c>
      <c r="W55" s="43" t="s">
        <v>208</v>
      </c>
      <c r="X55" s="45">
        <v>4450000</v>
      </c>
      <c r="Y55" s="45">
        <v>0</v>
      </c>
      <c r="Z55" s="45">
        <v>0</v>
      </c>
      <c r="AA55" s="41">
        <v>0</v>
      </c>
      <c r="AB55" s="4"/>
      <c r="AC55" s="4"/>
      <c r="AD55" s="355">
        <v>1</v>
      </c>
    </row>
    <row r="56" spans="3:30" ht="15.75" hidden="1" x14ac:dyDescent="0.25">
      <c r="C56" s="36" t="s">
        <v>126</v>
      </c>
      <c r="D56" s="37" t="s">
        <v>127</v>
      </c>
      <c r="E56" s="38">
        <v>28126</v>
      </c>
      <c r="F56" s="36"/>
      <c r="G56" s="36">
        <v>89077012585</v>
      </c>
      <c r="H56" s="39">
        <v>44606</v>
      </c>
      <c r="I56" s="37" t="s">
        <v>200</v>
      </c>
      <c r="J56" s="37" t="s">
        <v>379</v>
      </c>
      <c r="K56" s="37" t="s">
        <v>380</v>
      </c>
      <c r="L56" s="37"/>
      <c r="M56" s="37"/>
      <c r="N56" s="37"/>
      <c r="O56" s="37"/>
      <c r="P56" s="36" t="s">
        <v>381</v>
      </c>
      <c r="Q56" s="41" t="s">
        <v>213</v>
      </c>
      <c r="R56" s="43">
        <v>45352</v>
      </c>
      <c r="S56" s="38">
        <v>45352</v>
      </c>
      <c r="T56" s="41" t="s">
        <v>205</v>
      </c>
      <c r="U56" s="41" t="s">
        <v>206</v>
      </c>
      <c r="V56" s="36" t="s">
        <v>213</v>
      </c>
      <c r="W56" s="43" t="s">
        <v>208</v>
      </c>
      <c r="X56" s="45">
        <v>4450000</v>
      </c>
      <c r="Y56" s="45">
        <v>0</v>
      </c>
      <c r="Z56" s="45">
        <v>0</v>
      </c>
      <c r="AA56" s="41">
        <v>0</v>
      </c>
      <c r="AB56" s="4"/>
      <c r="AC56" s="4"/>
      <c r="AD56" s="355">
        <v>1</v>
      </c>
    </row>
    <row r="57" spans="3:30" ht="15.75" hidden="1" x14ac:dyDescent="0.25">
      <c r="C57" s="36" t="s">
        <v>128</v>
      </c>
      <c r="D57" s="37" t="s">
        <v>129</v>
      </c>
      <c r="E57" s="38">
        <v>31804</v>
      </c>
      <c r="F57" s="36"/>
      <c r="G57" s="36">
        <v>84187008951</v>
      </c>
      <c r="H57" s="39">
        <v>44977</v>
      </c>
      <c r="I57" s="37" t="s">
        <v>200</v>
      </c>
      <c r="J57" s="37" t="s">
        <v>382</v>
      </c>
      <c r="K57" s="37" t="s">
        <v>383</v>
      </c>
      <c r="L57" s="37"/>
      <c r="M57" s="37"/>
      <c r="N57" s="37"/>
      <c r="O57" s="37"/>
      <c r="P57" s="5" t="s">
        <v>384</v>
      </c>
      <c r="Q57" s="4" t="s">
        <v>213</v>
      </c>
      <c r="R57" s="10">
        <v>45355</v>
      </c>
      <c r="S57" s="7">
        <v>45355</v>
      </c>
      <c r="T57" s="4" t="s">
        <v>205</v>
      </c>
      <c r="U57" s="4" t="s">
        <v>206</v>
      </c>
      <c r="V57" s="9" t="s">
        <v>213</v>
      </c>
      <c r="W57" s="10" t="s">
        <v>208</v>
      </c>
      <c r="X57" s="11">
        <v>4450000</v>
      </c>
      <c r="Y57" s="11">
        <v>0</v>
      </c>
      <c r="Z57" s="11">
        <v>0</v>
      </c>
      <c r="AA57" s="4">
        <v>0</v>
      </c>
      <c r="AB57" s="4"/>
      <c r="AC57" s="4"/>
      <c r="AD57" s="355">
        <v>1</v>
      </c>
    </row>
    <row r="58" spans="3:30" ht="15.75" hidden="1" x14ac:dyDescent="0.25">
      <c r="C58" s="36" t="s">
        <v>130</v>
      </c>
      <c r="D58" s="37" t="s">
        <v>131</v>
      </c>
      <c r="E58" s="38">
        <v>32466</v>
      </c>
      <c r="F58" s="36"/>
      <c r="G58" s="36">
        <v>95188005067</v>
      </c>
      <c r="H58" s="39">
        <v>44955</v>
      </c>
      <c r="I58" s="37" t="s">
        <v>200</v>
      </c>
      <c r="J58" s="37" t="s">
        <v>385</v>
      </c>
      <c r="K58" s="37" t="s">
        <v>386</v>
      </c>
      <c r="L58" s="37"/>
      <c r="M58" s="37"/>
      <c r="N58" s="37"/>
      <c r="O58" s="37"/>
      <c r="P58" s="5" t="s">
        <v>387</v>
      </c>
      <c r="Q58" s="4" t="s">
        <v>213</v>
      </c>
      <c r="R58" s="10">
        <v>45355</v>
      </c>
      <c r="S58" s="7">
        <v>45355</v>
      </c>
      <c r="T58" s="4" t="s">
        <v>205</v>
      </c>
      <c r="U58" s="4" t="s">
        <v>206</v>
      </c>
      <c r="V58" s="9" t="s">
        <v>213</v>
      </c>
      <c r="W58" s="10" t="s">
        <v>208</v>
      </c>
      <c r="X58" s="11">
        <v>4450000</v>
      </c>
      <c r="Y58" s="11">
        <v>0</v>
      </c>
      <c r="Z58" s="11">
        <v>0</v>
      </c>
      <c r="AA58" s="4">
        <v>0</v>
      </c>
      <c r="AB58" s="4"/>
      <c r="AC58" s="4"/>
      <c r="AD58" s="355">
        <v>1</v>
      </c>
    </row>
    <row r="59" spans="3:30" ht="15.75" hidden="1" x14ac:dyDescent="0.25">
      <c r="C59" s="36" t="s">
        <v>132</v>
      </c>
      <c r="D59" s="37" t="s">
        <v>133</v>
      </c>
      <c r="E59" s="38">
        <v>34970</v>
      </c>
      <c r="F59" s="36"/>
      <c r="G59" s="36">
        <v>87095004137</v>
      </c>
      <c r="H59" s="39">
        <v>45278</v>
      </c>
      <c r="I59" s="37" t="s">
        <v>200</v>
      </c>
      <c r="J59" s="37" t="s">
        <v>388</v>
      </c>
      <c r="K59" s="37" t="s">
        <v>389</v>
      </c>
      <c r="L59" s="37"/>
      <c r="M59" s="37"/>
      <c r="N59" s="37"/>
      <c r="O59" s="37"/>
      <c r="P59" s="36" t="s">
        <v>390</v>
      </c>
      <c r="Q59" s="46" t="s">
        <v>213</v>
      </c>
      <c r="R59" s="49">
        <v>45342</v>
      </c>
      <c r="S59" s="47">
        <v>45342</v>
      </c>
      <c r="T59" s="46" t="s">
        <v>205</v>
      </c>
      <c r="U59" s="46" t="s">
        <v>206</v>
      </c>
      <c r="V59" s="48" t="s">
        <v>213</v>
      </c>
      <c r="W59" s="49" t="s">
        <v>208</v>
      </c>
      <c r="X59" s="50">
        <v>4450000</v>
      </c>
      <c r="Y59" s="50">
        <v>0</v>
      </c>
      <c r="Z59" s="50">
        <v>0</v>
      </c>
      <c r="AA59" s="46">
        <v>0</v>
      </c>
      <c r="AB59" s="46"/>
      <c r="AC59" s="46"/>
      <c r="AD59" s="355">
        <v>1</v>
      </c>
    </row>
    <row r="60" spans="3:30" ht="15.75" hidden="1" x14ac:dyDescent="0.25">
      <c r="C60" s="36" t="s">
        <v>134</v>
      </c>
      <c r="D60" s="37" t="s">
        <v>135</v>
      </c>
      <c r="E60" s="38">
        <v>33537</v>
      </c>
      <c r="F60" s="36"/>
      <c r="G60" s="36">
        <v>91091005677</v>
      </c>
      <c r="H60" s="39">
        <v>44782</v>
      </c>
      <c r="I60" s="37" t="s">
        <v>200</v>
      </c>
      <c r="J60" s="37" t="s">
        <v>278</v>
      </c>
      <c r="K60" s="37" t="s">
        <v>391</v>
      </c>
      <c r="L60" s="37"/>
      <c r="M60" s="37"/>
      <c r="N60" s="37"/>
      <c r="O60" s="37"/>
      <c r="P60" s="36" t="s">
        <v>392</v>
      </c>
      <c r="Q60" s="46" t="s">
        <v>213</v>
      </c>
      <c r="R60" s="49">
        <v>45348</v>
      </c>
      <c r="S60" s="47">
        <v>45348</v>
      </c>
      <c r="T60" s="46" t="s">
        <v>205</v>
      </c>
      <c r="U60" s="46" t="s">
        <v>206</v>
      </c>
      <c r="V60" s="48" t="s">
        <v>213</v>
      </c>
      <c r="W60" s="49" t="s">
        <v>208</v>
      </c>
      <c r="X60" s="50">
        <v>4450000</v>
      </c>
      <c r="Y60" s="50">
        <v>0</v>
      </c>
      <c r="Z60" s="50">
        <v>0</v>
      </c>
      <c r="AA60" s="46">
        <v>0</v>
      </c>
      <c r="AB60" s="46"/>
      <c r="AC60" s="46"/>
      <c r="AD60" s="355">
        <v>1</v>
      </c>
    </row>
    <row r="61" spans="3:30" ht="15.75" hidden="1" x14ac:dyDescent="0.25">
      <c r="C61" s="36" t="s">
        <v>136</v>
      </c>
      <c r="D61" s="37" t="s">
        <v>137</v>
      </c>
      <c r="E61" s="38">
        <v>27616</v>
      </c>
      <c r="F61" s="36"/>
      <c r="G61" s="36" t="s">
        <v>393</v>
      </c>
      <c r="H61" s="39">
        <v>45020</v>
      </c>
      <c r="I61" s="37" t="s">
        <v>200</v>
      </c>
      <c r="J61" s="37" t="s">
        <v>394</v>
      </c>
      <c r="K61" s="37" t="s">
        <v>395</v>
      </c>
      <c r="L61" s="37"/>
      <c r="M61" s="37"/>
      <c r="N61" s="37"/>
      <c r="O61" s="37"/>
      <c r="P61" s="36" t="s">
        <v>396</v>
      </c>
      <c r="Q61" s="46" t="s">
        <v>213</v>
      </c>
      <c r="R61" s="49">
        <v>45358</v>
      </c>
      <c r="S61" s="47">
        <v>45358</v>
      </c>
      <c r="T61" s="46" t="s">
        <v>205</v>
      </c>
      <c r="U61" s="46" t="s">
        <v>206</v>
      </c>
      <c r="V61" s="48" t="s">
        <v>213</v>
      </c>
      <c r="W61" s="49" t="s">
        <v>208</v>
      </c>
      <c r="X61" s="50">
        <v>4450000</v>
      </c>
      <c r="Y61" s="50">
        <v>0</v>
      </c>
      <c r="Z61" s="50">
        <v>0</v>
      </c>
      <c r="AA61" s="46">
        <v>0</v>
      </c>
      <c r="AB61" s="46"/>
      <c r="AC61" s="46"/>
      <c r="AD61" s="355">
        <v>1</v>
      </c>
    </row>
    <row r="62" spans="3:30" ht="15.75" hidden="1" x14ac:dyDescent="0.25">
      <c r="C62" s="36" t="s">
        <v>138</v>
      </c>
      <c r="D62" s="37" t="s">
        <v>139</v>
      </c>
      <c r="E62" s="38">
        <v>23287</v>
      </c>
      <c r="F62" s="36"/>
      <c r="G62" s="36" t="s">
        <v>397</v>
      </c>
      <c r="H62" s="39">
        <v>44522</v>
      </c>
      <c r="I62" s="37" t="s">
        <v>200</v>
      </c>
      <c r="J62" s="37" t="s">
        <v>398</v>
      </c>
      <c r="K62" s="37" t="s">
        <v>398</v>
      </c>
      <c r="L62" s="37"/>
      <c r="M62" s="37"/>
      <c r="N62" s="37"/>
      <c r="O62" s="37"/>
      <c r="P62" s="5" t="s">
        <v>399</v>
      </c>
      <c r="Q62" s="4" t="s">
        <v>213</v>
      </c>
      <c r="R62" s="10">
        <v>45348</v>
      </c>
      <c r="S62" s="7">
        <v>45348</v>
      </c>
      <c r="T62" s="4" t="s">
        <v>205</v>
      </c>
      <c r="U62" s="4" t="s">
        <v>206</v>
      </c>
      <c r="V62" s="9" t="s">
        <v>213</v>
      </c>
      <c r="W62" s="10" t="s">
        <v>208</v>
      </c>
      <c r="X62" s="11">
        <v>4450000</v>
      </c>
      <c r="Y62" s="11">
        <v>0</v>
      </c>
      <c r="Z62" s="11">
        <v>0</v>
      </c>
      <c r="AA62" s="4">
        <v>0</v>
      </c>
      <c r="AB62" s="4"/>
      <c r="AC62" s="4"/>
      <c r="AD62" s="355">
        <v>1</v>
      </c>
    </row>
    <row r="63" spans="3:30" ht="15.75" hidden="1" x14ac:dyDescent="0.25">
      <c r="C63" s="36" t="s">
        <v>140</v>
      </c>
      <c r="D63" s="37" t="s">
        <v>141</v>
      </c>
      <c r="E63" s="38">
        <v>30879</v>
      </c>
      <c r="F63" s="36"/>
      <c r="G63" s="36">
        <v>92084014866</v>
      </c>
      <c r="H63" s="39">
        <v>44794</v>
      </c>
      <c r="I63" s="37" t="s">
        <v>200</v>
      </c>
      <c r="J63" s="37" t="s">
        <v>400</v>
      </c>
      <c r="K63" s="37" t="s">
        <v>401</v>
      </c>
      <c r="L63" s="37"/>
      <c r="M63" s="37"/>
      <c r="N63" s="37"/>
      <c r="O63" s="37"/>
      <c r="P63" s="5" t="s">
        <v>402</v>
      </c>
      <c r="Q63" s="4" t="s">
        <v>213</v>
      </c>
      <c r="R63" s="10">
        <v>45357</v>
      </c>
      <c r="S63" s="7">
        <v>45357</v>
      </c>
      <c r="T63" s="4" t="s">
        <v>205</v>
      </c>
      <c r="U63" s="4" t="s">
        <v>206</v>
      </c>
      <c r="V63" s="9" t="s">
        <v>213</v>
      </c>
      <c r="W63" s="10" t="s">
        <v>208</v>
      </c>
      <c r="X63" s="11">
        <v>4450000</v>
      </c>
      <c r="Y63" s="11">
        <v>0</v>
      </c>
      <c r="Z63" s="11">
        <v>0</v>
      </c>
      <c r="AA63" s="4">
        <v>0</v>
      </c>
      <c r="AB63" s="4"/>
      <c r="AC63" s="4"/>
      <c r="AD63" s="355">
        <v>1</v>
      </c>
    </row>
    <row r="64" spans="3:30" ht="15.75" hidden="1" x14ac:dyDescent="0.25">
      <c r="C64" s="36" t="s">
        <v>142</v>
      </c>
      <c r="D64" s="37" t="s">
        <v>143</v>
      </c>
      <c r="E64" s="38">
        <v>38612</v>
      </c>
      <c r="F64" s="36"/>
      <c r="G64" s="36">
        <v>80205001806</v>
      </c>
      <c r="H64" s="39">
        <v>45082</v>
      </c>
      <c r="I64" s="37" t="s">
        <v>200</v>
      </c>
      <c r="J64" s="37" t="s">
        <v>403</v>
      </c>
      <c r="K64" s="37" t="s">
        <v>404</v>
      </c>
      <c r="L64" s="37"/>
      <c r="M64" s="37"/>
      <c r="N64" s="37"/>
      <c r="O64" s="37"/>
      <c r="P64" s="5" t="s">
        <v>405</v>
      </c>
      <c r="Q64" s="4" t="s">
        <v>213</v>
      </c>
      <c r="R64" s="10">
        <v>45345</v>
      </c>
      <c r="S64" s="7">
        <v>45345</v>
      </c>
      <c r="T64" s="4" t="s">
        <v>205</v>
      </c>
      <c r="U64" s="4" t="s">
        <v>206</v>
      </c>
      <c r="V64" s="9" t="s">
        <v>213</v>
      </c>
      <c r="W64" s="10" t="s">
        <v>208</v>
      </c>
      <c r="X64" s="11">
        <v>4450000</v>
      </c>
      <c r="Y64" s="11">
        <v>0</v>
      </c>
      <c r="Z64" s="11">
        <v>0</v>
      </c>
      <c r="AA64" s="4">
        <v>0</v>
      </c>
      <c r="AB64" s="4"/>
      <c r="AC64" s="4"/>
      <c r="AD64" s="355">
        <v>1</v>
      </c>
    </row>
    <row r="65" spans="3:30" ht="15.75" hidden="1" x14ac:dyDescent="0.25">
      <c r="C65" s="36" t="s">
        <v>144</v>
      </c>
      <c r="D65" s="37" t="s">
        <v>145</v>
      </c>
      <c r="E65" s="38">
        <v>27030</v>
      </c>
      <c r="F65" s="36"/>
      <c r="G65" s="36">
        <v>91074002134</v>
      </c>
      <c r="H65" s="39">
        <v>44788</v>
      </c>
      <c r="I65" s="37" t="s">
        <v>200</v>
      </c>
      <c r="J65" s="37" t="s">
        <v>406</v>
      </c>
      <c r="K65" s="37" t="s">
        <v>407</v>
      </c>
      <c r="L65" s="37"/>
      <c r="M65" s="37"/>
      <c r="N65" s="37"/>
      <c r="O65" s="37"/>
      <c r="P65" s="5" t="s">
        <v>408</v>
      </c>
      <c r="Q65" s="4" t="s">
        <v>213</v>
      </c>
      <c r="R65" s="10">
        <v>45359</v>
      </c>
      <c r="S65" s="7">
        <v>45359</v>
      </c>
      <c r="T65" s="4" t="s">
        <v>205</v>
      </c>
      <c r="U65" s="4" t="s">
        <v>206</v>
      </c>
      <c r="V65" s="9" t="s">
        <v>213</v>
      </c>
      <c r="W65" s="10" t="s">
        <v>208</v>
      </c>
      <c r="X65" s="11">
        <v>4450000</v>
      </c>
      <c r="Y65" s="11">
        <v>250000</v>
      </c>
      <c r="Z65" s="11">
        <v>500000</v>
      </c>
      <c r="AA65" s="4">
        <v>0</v>
      </c>
      <c r="AB65" s="4"/>
      <c r="AC65" s="4"/>
      <c r="AD65" s="355">
        <v>1</v>
      </c>
    </row>
    <row r="66" spans="3:30" ht="15.75" hidden="1" x14ac:dyDescent="0.25">
      <c r="C66" s="36" t="s">
        <v>146</v>
      </c>
      <c r="D66" s="37" t="s">
        <v>147</v>
      </c>
      <c r="E66" s="38">
        <v>34371</v>
      </c>
      <c r="F66" s="36"/>
      <c r="G66" s="36">
        <v>96094008320</v>
      </c>
      <c r="H66" s="39">
        <v>44723</v>
      </c>
      <c r="I66" s="37" t="s">
        <v>200</v>
      </c>
      <c r="J66" s="37" t="s">
        <v>409</v>
      </c>
      <c r="K66" s="37" t="s">
        <v>410</v>
      </c>
      <c r="L66" s="37"/>
      <c r="M66" s="37"/>
      <c r="N66" s="37"/>
      <c r="O66" s="37"/>
      <c r="P66" s="5" t="s">
        <v>411</v>
      </c>
      <c r="Q66" s="4" t="s">
        <v>213</v>
      </c>
      <c r="R66" s="10">
        <v>45294</v>
      </c>
      <c r="S66" s="7">
        <v>45294</v>
      </c>
      <c r="T66" s="4" t="s">
        <v>205</v>
      </c>
      <c r="U66" s="4" t="s">
        <v>206</v>
      </c>
      <c r="V66" s="9" t="s">
        <v>213</v>
      </c>
      <c r="W66" s="10" t="s">
        <v>208</v>
      </c>
      <c r="X66" s="11">
        <v>4450000</v>
      </c>
      <c r="Y66" s="11">
        <v>0</v>
      </c>
      <c r="Z66" s="11">
        <v>0</v>
      </c>
      <c r="AA66" s="4">
        <v>0</v>
      </c>
      <c r="AB66" s="4"/>
      <c r="AC66" s="4"/>
      <c r="AD66" s="355">
        <v>1</v>
      </c>
    </row>
    <row r="67" spans="3:30" ht="15.75" hidden="1" x14ac:dyDescent="0.25">
      <c r="C67" s="36" t="s">
        <v>148</v>
      </c>
      <c r="D67" s="37" t="s">
        <v>149</v>
      </c>
      <c r="E67" s="38">
        <v>28126</v>
      </c>
      <c r="F67" s="36"/>
      <c r="G67" s="36" t="s">
        <v>412</v>
      </c>
      <c r="H67" s="39">
        <v>44354</v>
      </c>
      <c r="I67" s="37" t="s">
        <v>200</v>
      </c>
      <c r="J67" s="37" t="s">
        <v>413</v>
      </c>
      <c r="K67" s="37" t="s">
        <v>414</v>
      </c>
      <c r="L67" s="37"/>
      <c r="M67" s="37"/>
      <c r="N67" s="37"/>
      <c r="O67" s="37"/>
      <c r="P67" s="5" t="s">
        <v>415</v>
      </c>
      <c r="Q67" s="4" t="s">
        <v>213</v>
      </c>
      <c r="R67" s="10">
        <v>45349</v>
      </c>
      <c r="S67" s="7">
        <v>45349</v>
      </c>
      <c r="T67" s="4" t="s">
        <v>205</v>
      </c>
      <c r="U67" s="4" t="s">
        <v>206</v>
      </c>
      <c r="V67" s="9" t="s">
        <v>217</v>
      </c>
      <c r="W67" s="10">
        <v>45371</v>
      </c>
      <c r="X67" s="11">
        <v>4450000</v>
      </c>
      <c r="Y67" s="11">
        <v>250000</v>
      </c>
      <c r="Z67" s="11">
        <v>300000</v>
      </c>
      <c r="AA67" s="4">
        <v>0</v>
      </c>
      <c r="AB67" s="4"/>
      <c r="AC67" s="4"/>
      <c r="AD67" s="355">
        <v>1</v>
      </c>
    </row>
    <row r="68" spans="3:30" ht="15.75" hidden="1" x14ac:dyDescent="0.25">
      <c r="C68" s="36" t="s">
        <v>150</v>
      </c>
      <c r="D68" s="37" t="s">
        <v>151</v>
      </c>
      <c r="E68" s="38">
        <v>29504</v>
      </c>
      <c r="F68" s="36"/>
      <c r="G68" s="36" t="s">
        <v>416</v>
      </c>
      <c r="H68" s="39">
        <v>44784</v>
      </c>
      <c r="I68" s="37" t="s">
        <v>417</v>
      </c>
      <c r="J68" s="37" t="s">
        <v>418</v>
      </c>
      <c r="K68" s="37" t="s">
        <v>419</v>
      </c>
      <c r="L68" s="37"/>
      <c r="M68" s="37"/>
      <c r="N68" s="37"/>
      <c r="O68" s="37"/>
      <c r="P68" s="5" t="s">
        <v>420</v>
      </c>
      <c r="Q68" s="4" t="s">
        <v>213</v>
      </c>
      <c r="R68" s="10">
        <v>45357</v>
      </c>
      <c r="S68" s="7">
        <v>45357</v>
      </c>
      <c r="T68" s="4" t="s">
        <v>205</v>
      </c>
      <c r="U68" s="4" t="s">
        <v>206</v>
      </c>
      <c r="V68" s="9" t="s">
        <v>217</v>
      </c>
      <c r="W68" s="10">
        <v>45371</v>
      </c>
      <c r="X68" s="11">
        <v>4450000</v>
      </c>
      <c r="Y68" s="11">
        <v>250000</v>
      </c>
      <c r="Z68" s="11">
        <v>300000</v>
      </c>
      <c r="AA68" s="4">
        <v>0</v>
      </c>
      <c r="AB68" s="4"/>
      <c r="AC68" s="4"/>
      <c r="AD68" s="355">
        <v>1</v>
      </c>
    </row>
    <row r="69" spans="3:30" ht="15.75" hidden="1" x14ac:dyDescent="0.25">
      <c r="C69" s="36" t="s">
        <v>152</v>
      </c>
      <c r="D69" s="41" t="s">
        <v>153</v>
      </c>
      <c r="E69" s="38">
        <v>36284</v>
      </c>
      <c r="F69" s="42"/>
      <c r="G69" s="36" t="s">
        <v>421</v>
      </c>
      <c r="H69" s="43">
        <v>44293</v>
      </c>
      <c r="I69" s="41" t="s">
        <v>200</v>
      </c>
      <c r="J69" s="41" t="s">
        <v>318</v>
      </c>
      <c r="K69" s="41" t="s">
        <v>422</v>
      </c>
      <c r="L69" s="41"/>
      <c r="M69" s="41"/>
      <c r="N69" s="4"/>
      <c r="O69" s="4"/>
      <c r="P69" s="5" t="s">
        <v>236</v>
      </c>
      <c r="Q69" s="4" t="s">
        <v>213</v>
      </c>
      <c r="R69" s="10">
        <v>45310</v>
      </c>
      <c r="S69" s="7">
        <v>45310</v>
      </c>
      <c r="T69" s="4" t="s">
        <v>205</v>
      </c>
      <c r="U69" s="4" t="s">
        <v>206</v>
      </c>
      <c r="V69" s="9" t="s">
        <v>213</v>
      </c>
      <c r="W69" s="10" t="s">
        <v>208</v>
      </c>
      <c r="X69" s="11">
        <v>4450000</v>
      </c>
      <c r="Y69" s="11">
        <v>0</v>
      </c>
      <c r="Z69" s="11">
        <v>0</v>
      </c>
      <c r="AA69" s="4">
        <v>0</v>
      </c>
      <c r="AB69" s="4"/>
      <c r="AC69" s="4"/>
      <c r="AD69" s="355">
        <v>1</v>
      </c>
    </row>
    <row r="70" spans="3:30" ht="15.75" hidden="1" x14ac:dyDescent="0.25">
      <c r="C70" s="36" t="s">
        <v>154</v>
      </c>
      <c r="D70" s="41" t="s">
        <v>155</v>
      </c>
      <c r="E70" s="38">
        <v>33734</v>
      </c>
      <c r="F70" s="42"/>
      <c r="G70" s="36" t="s">
        <v>423</v>
      </c>
      <c r="H70" s="43">
        <v>44444</v>
      </c>
      <c r="I70" s="41" t="s">
        <v>200</v>
      </c>
      <c r="J70" s="41" t="s">
        <v>424</v>
      </c>
      <c r="K70" s="41" t="s">
        <v>422</v>
      </c>
      <c r="L70" s="41"/>
      <c r="M70" s="41"/>
      <c r="N70" s="4"/>
      <c r="O70" s="4"/>
      <c r="P70" s="5" t="s">
        <v>425</v>
      </c>
      <c r="Q70" s="4" t="s">
        <v>213</v>
      </c>
      <c r="R70" s="10">
        <v>45310</v>
      </c>
      <c r="S70" s="7">
        <v>45310</v>
      </c>
      <c r="T70" s="4" t="s">
        <v>205</v>
      </c>
      <c r="U70" s="4" t="s">
        <v>206</v>
      </c>
      <c r="V70" s="9" t="s">
        <v>213</v>
      </c>
      <c r="W70" s="10" t="s">
        <v>208</v>
      </c>
      <c r="X70" s="11">
        <v>4450000</v>
      </c>
      <c r="Y70" s="11">
        <v>0</v>
      </c>
      <c r="Z70" s="11">
        <v>0</v>
      </c>
      <c r="AA70" s="4">
        <v>0</v>
      </c>
      <c r="AB70" s="4"/>
      <c r="AC70" s="4"/>
      <c r="AD70" s="355">
        <v>1</v>
      </c>
    </row>
    <row r="71" spans="3:30" ht="15.75" hidden="1" x14ac:dyDescent="0.25">
      <c r="C71" s="36" t="s">
        <v>156</v>
      </c>
      <c r="D71" s="41" t="s">
        <v>157</v>
      </c>
      <c r="E71" s="38">
        <v>34735</v>
      </c>
      <c r="F71" s="42"/>
      <c r="G71" s="36" t="s">
        <v>426</v>
      </c>
      <c r="H71" s="43">
        <v>44325</v>
      </c>
      <c r="I71" s="41" t="s">
        <v>200</v>
      </c>
      <c r="J71" s="41" t="s">
        <v>318</v>
      </c>
      <c r="K71" s="41" t="s">
        <v>427</v>
      </c>
      <c r="L71" s="41"/>
      <c r="M71" s="41"/>
      <c r="N71" s="4"/>
      <c r="O71" s="4"/>
      <c r="P71" s="5" t="s">
        <v>428</v>
      </c>
      <c r="Q71" s="4" t="s">
        <v>213</v>
      </c>
      <c r="R71" s="10">
        <v>45310</v>
      </c>
      <c r="S71" s="7">
        <v>45310</v>
      </c>
      <c r="T71" s="4" t="s">
        <v>205</v>
      </c>
      <c r="U71" s="4" t="s">
        <v>206</v>
      </c>
      <c r="V71" s="9" t="s">
        <v>213</v>
      </c>
      <c r="W71" s="10" t="s">
        <v>208</v>
      </c>
      <c r="X71" s="11">
        <v>4450000</v>
      </c>
      <c r="Y71" s="11">
        <v>0</v>
      </c>
      <c r="Z71" s="11">
        <v>0</v>
      </c>
      <c r="AA71" s="4">
        <v>0</v>
      </c>
      <c r="AB71" s="4"/>
      <c r="AC71" s="4"/>
      <c r="AD71" s="355">
        <v>1</v>
      </c>
    </row>
    <row r="72" spans="3:30" ht="15.75" hidden="1" x14ac:dyDescent="0.25">
      <c r="C72" s="36" t="s">
        <v>158</v>
      </c>
      <c r="D72" s="41" t="s">
        <v>159</v>
      </c>
      <c r="E72" s="38">
        <v>33234</v>
      </c>
      <c r="F72" s="42"/>
      <c r="G72" s="36" t="s">
        <v>429</v>
      </c>
      <c r="H72" s="43">
        <v>44293</v>
      </c>
      <c r="I72" s="41" t="s">
        <v>200</v>
      </c>
      <c r="J72" s="41" t="s">
        <v>318</v>
      </c>
      <c r="K72" s="41" t="s">
        <v>422</v>
      </c>
      <c r="L72" s="41"/>
      <c r="M72" s="41"/>
      <c r="N72" s="4"/>
      <c r="O72" s="4"/>
      <c r="P72" s="5" t="s">
        <v>430</v>
      </c>
      <c r="Q72" s="4" t="s">
        <v>213</v>
      </c>
      <c r="R72" s="10">
        <v>45310</v>
      </c>
      <c r="S72" s="7">
        <v>45310</v>
      </c>
      <c r="T72" s="4" t="s">
        <v>205</v>
      </c>
      <c r="U72" s="4" t="s">
        <v>206</v>
      </c>
      <c r="V72" s="9" t="s">
        <v>213</v>
      </c>
      <c r="W72" s="10" t="s">
        <v>208</v>
      </c>
      <c r="X72" s="11">
        <v>4450000</v>
      </c>
      <c r="Y72" s="11">
        <v>0</v>
      </c>
      <c r="Z72" s="11">
        <v>0</v>
      </c>
      <c r="AA72" s="4">
        <v>0</v>
      </c>
      <c r="AB72" s="4"/>
      <c r="AC72" s="4"/>
      <c r="AD72" s="355">
        <v>1</v>
      </c>
    </row>
    <row r="73" spans="3:30" ht="15.75" hidden="1" x14ac:dyDescent="0.25">
      <c r="C73" s="36" t="s">
        <v>160</v>
      </c>
      <c r="D73" s="41" t="s">
        <v>161</v>
      </c>
      <c r="E73" s="38">
        <v>27760</v>
      </c>
      <c r="F73" s="42"/>
      <c r="G73" s="36" t="s">
        <v>431</v>
      </c>
      <c r="H73" s="43">
        <v>44819</v>
      </c>
      <c r="I73" s="41" t="s">
        <v>200</v>
      </c>
      <c r="J73" s="41" t="s">
        <v>432</v>
      </c>
      <c r="K73" s="41" t="s">
        <v>433</v>
      </c>
      <c r="L73" s="41"/>
      <c r="M73" s="41"/>
      <c r="N73" s="4"/>
      <c r="O73" s="4"/>
      <c r="P73" s="5" t="s">
        <v>434</v>
      </c>
      <c r="Q73" s="4" t="s">
        <v>213</v>
      </c>
      <c r="R73" s="10">
        <v>45374</v>
      </c>
      <c r="S73" s="7">
        <v>45374</v>
      </c>
      <c r="T73" s="4" t="s">
        <v>205</v>
      </c>
      <c r="U73" s="4" t="s">
        <v>206</v>
      </c>
      <c r="V73" s="9" t="s">
        <v>213</v>
      </c>
      <c r="W73" s="10" t="s">
        <v>208</v>
      </c>
      <c r="X73" s="11">
        <v>4450000</v>
      </c>
      <c r="Y73" s="11">
        <v>0</v>
      </c>
      <c r="Z73" s="11">
        <v>0</v>
      </c>
      <c r="AA73" s="4">
        <v>0</v>
      </c>
      <c r="AB73" s="4"/>
      <c r="AC73" s="4"/>
      <c r="AD73" s="355">
        <v>1</v>
      </c>
    </row>
    <row r="74" spans="3:30" ht="15.75" hidden="1" x14ac:dyDescent="0.25">
      <c r="C74" s="36" t="s">
        <v>162</v>
      </c>
      <c r="D74" s="41" t="s">
        <v>163</v>
      </c>
      <c r="E74" s="38">
        <v>23377</v>
      </c>
      <c r="F74" s="42"/>
      <c r="G74" s="36" t="s">
        <v>435</v>
      </c>
      <c r="H74" s="43">
        <v>44422</v>
      </c>
      <c r="I74" s="41" t="s">
        <v>200</v>
      </c>
      <c r="J74" s="41" t="s">
        <v>436</v>
      </c>
      <c r="K74" s="41" t="s">
        <v>437</v>
      </c>
      <c r="L74" s="41"/>
      <c r="M74" s="41"/>
      <c r="N74" s="4"/>
      <c r="O74" s="4"/>
      <c r="P74" s="5" t="s">
        <v>438</v>
      </c>
      <c r="Q74" s="4" t="s">
        <v>213</v>
      </c>
      <c r="R74" s="10">
        <v>45372</v>
      </c>
      <c r="S74" s="7">
        <v>45372</v>
      </c>
      <c r="T74" s="4" t="s">
        <v>205</v>
      </c>
      <c r="U74" s="4" t="s">
        <v>206</v>
      </c>
      <c r="V74" s="9" t="s">
        <v>213</v>
      </c>
      <c r="W74" s="10" t="s">
        <v>208</v>
      </c>
      <c r="X74" s="11">
        <v>4450000</v>
      </c>
      <c r="Y74" s="11">
        <v>0</v>
      </c>
      <c r="Z74" s="11">
        <v>0</v>
      </c>
      <c r="AA74" s="4">
        <v>0</v>
      </c>
      <c r="AB74" s="4"/>
      <c r="AC74" s="4"/>
      <c r="AD74" s="355">
        <v>1</v>
      </c>
    </row>
    <row r="75" spans="3:30" ht="15.75" hidden="1" x14ac:dyDescent="0.25">
      <c r="C75" s="36" t="s">
        <v>164</v>
      </c>
      <c r="D75" s="41" t="s">
        <v>165</v>
      </c>
      <c r="E75" s="38">
        <v>33650</v>
      </c>
      <c r="F75" s="42"/>
      <c r="G75" s="36" t="s">
        <v>439</v>
      </c>
      <c r="H75" s="43">
        <v>45093</v>
      </c>
      <c r="I75" s="41" t="s">
        <v>200</v>
      </c>
      <c r="J75" s="41" t="s">
        <v>242</v>
      </c>
      <c r="K75" s="41" t="s">
        <v>243</v>
      </c>
      <c r="L75" s="41"/>
      <c r="M75" s="41"/>
      <c r="N75" s="4"/>
      <c r="O75" s="4"/>
      <c r="P75" s="5" t="s">
        <v>440</v>
      </c>
      <c r="Q75" s="4" t="s">
        <v>213</v>
      </c>
      <c r="R75" s="10">
        <v>45372</v>
      </c>
      <c r="S75" s="7">
        <v>45372</v>
      </c>
      <c r="T75" s="4" t="s">
        <v>205</v>
      </c>
      <c r="U75" s="4" t="s">
        <v>206</v>
      </c>
      <c r="V75" s="9" t="s">
        <v>213</v>
      </c>
      <c r="W75" s="10" t="s">
        <v>208</v>
      </c>
      <c r="X75" s="11">
        <v>4450000</v>
      </c>
      <c r="Y75" s="11">
        <v>0</v>
      </c>
      <c r="Z75" s="11">
        <v>0</v>
      </c>
      <c r="AA75" s="4">
        <v>0</v>
      </c>
      <c r="AB75" s="4"/>
      <c r="AC75" s="4"/>
      <c r="AD75" s="355">
        <v>1</v>
      </c>
    </row>
    <row r="76" spans="3:30" ht="15.75" hidden="1" x14ac:dyDescent="0.25">
      <c r="C76" s="36" t="s">
        <v>166</v>
      </c>
      <c r="D76" s="41" t="s">
        <v>167</v>
      </c>
      <c r="E76" s="38">
        <v>29221</v>
      </c>
      <c r="F76" s="42"/>
      <c r="G76" s="36" t="s">
        <v>441</v>
      </c>
      <c r="H76" s="43">
        <v>44599</v>
      </c>
      <c r="I76" s="41" t="s">
        <v>200</v>
      </c>
      <c r="J76" s="41" t="s">
        <v>442</v>
      </c>
      <c r="K76" s="41" t="s">
        <v>443</v>
      </c>
      <c r="L76" s="41"/>
      <c r="M76" s="41"/>
      <c r="N76" s="4"/>
      <c r="O76" s="4"/>
      <c r="P76" s="5" t="s">
        <v>444</v>
      </c>
      <c r="Q76" s="4" t="s">
        <v>213</v>
      </c>
      <c r="R76" s="10">
        <v>45372</v>
      </c>
      <c r="S76" s="7">
        <v>45372</v>
      </c>
      <c r="T76" s="4" t="s">
        <v>205</v>
      </c>
      <c r="U76" s="4" t="s">
        <v>206</v>
      </c>
      <c r="V76" s="9" t="s">
        <v>213</v>
      </c>
      <c r="W76" s="10" t="s">
        <v>208</v>
      </c>
      <c r="X76" s="11">
        <v>4450000</v>
      </c>
      <c r="Y76" s="11">
        <v>0</v>
      </c>
      <c r="Z76" s="11">
        <v>0</v>
      </c>
      <c r="AA76" s="4">
        <v>0</v>
      </c>
      <c r="AB76" s="4"/>
      <c r="AC76" s="4"/>
      <c r="AD76" s="355">
        <v>1</v>
      </c>
    </row>
    <row r="77" spans="3:30" ht="15.75" x14ac:dyDescent="0.25">
      <c r="C77" s="36" t="s">
        <v>168</v>
      </c>
      <c r="D77" s="41" t="s">
        <v>169</v>
      </c>
      <c r="E77" s="47">
        <v>37661</v>
      </c>
      <c r="F77" s="42"/>
      <c r="G77" s="48" t="s">
        <v>445</v>
      </c>
      <c r="H77" s="49">
        <v>44326</v>
      </c>
      <c r="I77" s="46" t="s">
        <v>200</v>
      </c>
      <c r="J77" s="46" t="s">
        <v>446</v>
      </c>
      <c r="K77" s="46" t="s">
        <v>447</v>
      </c>
      <c r="L77" s="46"/>
      <c r="M77" s="46"/>
      <c r="N77" s="46"/>
      <c r="O77" s="46"/>
      <c r="P77" s="5">
        <v>11</v>
      </c>
      <c r="Q77" s="4" t="s">
        <v>204</v>
      </c>
      <c r="R77" s="10">
        <v>45313</v>
      </c>
      <c r="S77" s="7">
        <v>45313</v>
      </c>
      <c r="T77" s="4" t="s">
        <v>205</v>
      </c>
      <c r="U77" s="4" t="s">
        <v>206</v>
      </c>
      <c r="V77" s="9" t="s">
        <v>213</v>
      </c>
      <c r="W77" s="10" t="s">
        <v>208</v>
      </c>
      <c r="X77" s="11">
        <v>4450000</v>
      </c>
      <c r="Y77" s="11">
        <v>0</v>
      </c>
      <c r="Z77" s="11">
        <v>0</v>
      </c>
      <c r="AA77" s="4">
        <v>0</v>
      </c>
      <c r="AB77" s="4"/>
      <c r="AC77" s="4"/>
      <c r="AD77" s="355">
        <v>1</v>
      </c>
    </row>
    <row r="78" spans="3:30" ht="15.75" hidden="1" x14ac:dyDescent="0.25">
      <c r="C78" s="36" t="s">
        <v>170</v>
      </c>
      <c r="D78" s="41" t="s">
        <v>171</v>
      </c>
      <c r="E78" s="47">
        <v>32948</v>
      </c>
      <c r="F78" s="42"/>
      <c r="G78" s="48" t="s">
        <v>448</v>
      </c>
      <c r="H78" s="49">
        <v>44522</v>
      </c>
      <c r="I78" s="46" t="s">
        <v>200</v>
      </c>
      <c r="J78" s="46" t="s">
        <v>449</v>
      </c>
      <c r="K78" s="46" t="s">
        <v>449</v>
      </c>
      <c r="L78" s="46"/>
      <c r="M78" s="46"/>
      <c r="N78" s="46"/>
      <c r="O78" s="46"/>
      <c r="P78" s="5" t="s">
        <v>450</v>
      </c>
      <c r="Q78" s="4" t="s">
        <v>213</v>
      </c>
      <c r="R78" s="10">
        <v>45338</v>
      </c>
      <c r="S78" s="7">
        <v>45338</v>
      </c>
      <c r="T78" s="4" t="s">
        <v>205</v>
      </c>
      <c r="U78" s="4" t="s">
        <v>206</v>
      </c>
      <c r="V78" s="9" t="s">
        <v>213</v>
      </c>
      <c r="W78" s="10" t="s">
        <v>208</v>
      </c>
      <c r="X78" s="11">
        <v>4450000</v>
      </c>
      <c r="Y78" s="11">
        <v>0</v>
      </c>
      <c r="Z78" s="11">
        <v>0</v>
      </c>
      <c r="AA78" s="4">
        <v>0</v>
      </c>
      <c r="AB78" s="4"/>
      <c r="AC78" s="4"/>
      <c r="AD78" s="355">
        <v>1</v>
      </c>
    </row>
    <row r="79" spans="3:30" ht="15.75" x14ac:dyDescent="0.25">
      <c r="C79" s="9"/>
      <c r="D79" s="4"/>
      <c r="E79" s="7"/>
      <c r="F79" s="8"/>
      <c r="G79" s="9"/>
      <c r="H79" s="10"/>
      <c r="I79" s="4"/>
      <c r="J79" s="4"/>
      <c r="K79" s="4"/>
      <c r="L79" s="4"/>
      <c r="M79" s="4"/>
      <c r="N79" s="4"/>
      <c r="O79" s="4"/>
      <c r="P79" s="5" t="s">
        <v>208</v>
      </c>
      <c r="Q79" s="4" t="s">
        <v>208</v>
      </c>
      <c r="R79" s="10" t="s">
        <v>208</v>
      </c>
      <c r="S79" s="7" t="s">
        <v>208</v>
      </c>
      <c r="T79" s="4" t="s">
        <v>208</v>
      </c>
      <c r="U79" s="4" t="s">
        <v>208</v>
      </c>
      <c r="V79" s="9" t="s">
        <v>208</v>
      </c>
      <c r="W79" s="10" t="s">
        <v>208</v>
      </c>
      <c r="X79" s="11" t="s">
        <v>208</v>
      </c>
      <c r="Y79" s="11" t="s">
        <v>208</v>
      </c>
      <c r="Z79" s="11" t="s">
        <v>208</v>
      </c>
      <c r="AA79" s="4" t="s">
        <v>208</v>
      </c>
      <c r="AB79" s="4"/>
      <c r="AC79" s="4"/>
    </row>
    <row r="80" spans="3:30" ht="15.75" x14ac:dyDescent="0.25">
      <c r="C80" s="9"/>
      <c r="D80" s="4"/>
      <c r="E80" s="7"/>
      <c r="F80" s="8"/>
      <c r="G80" s="9"/>
      <c r="H80" s="10"/>
      <c r="I80" s="4"/>
      <c r="J80" s="4"/>
      <c r="K80" s="4"/>
      <c r="L80" s="4"/>
      <c r="M80" s="4"/>
      <c r="N80" s="4"/>
      <c r="O80" s="4"/>
      <c r="P80" s="5" t="s">
        <v>208</v>
      </c>
      <c r="Q80" s="4" t="s">
        <v>208</v>
      </c>
      <c r="R80" s="10" t="s">
        <v>208</v>
      </c>
      <c r="S80" s="7" t="s">
        <v>208</v>
      </c>
      <c r="T80" s="4" t="s">
        <v>208</v>
      </c>
      <c r="U80" s="4" t="s">
        <v>208</v>
      </c>
      <c r="V80" s="9" t="s">
        <v>208</v>
      </c>
      <c r="W80" s="10" t="s">
        <v>208</v>
      </c>
      <c r="X80" s="11" t="s">
        <v>208</v>
      </c>
      <c r="Y80" s="11" t="s">
        <v>208</v>
      </c>
      <c r="Z80" s="11" t="s">
        <v>208</v>
      </c>
      <c r="AA80" s="4" t="s">
        <v>208</v>
      </c>
      <c r="AB80" s="4"/>
      <c r="AC80" s="4"/>
    </row>
    <row r="81" spans="3:29" ht="15.75" x14ac:dyDescent="0.25">
      <c r="C81" s="9"/>
      <c r="D81" s="4"/>
      <c r="E81" s="7"/>
      <c r="F81" s="8"/>
      <c r="G81" s="9"/>
      <c r="H81" s="10"/>
      <c r="I81" s="4"/>
      <c r="J81" s="4"/>
      <c r="K81" s="4"/>
      <c r="L81" s="4"/>
      <c r="M81" s="4"/>
      <c r="N81" s="4"/>
      <c r="O81" s="4"/>
      <c r="P81" s="5" t="s">
        <v>208</v>
      </c>
      <c r="Q81" s="4" t="s">
        <v>208</v>
      </c>
      <c r="R81" s="10" t="s">
        <v>208</v>
      </c>
      <c r="S81" s="7" t="s">
        <v>208</v>
      </c>
      <c r="T81" s="4" t="s">
        <v>208</v>
      </c>
      <c r="U81" s="4" t="s">
        <v>208</v>
      </c>
      <c r="V81" s="9" t="s">
        <v>208</v>
      </c>
      <c r="W81" s="10" t="s">
        <v>208</v>
      </c>
      <c r="X81" s="11" t="s">
        <v>208</v>
      </c>
      <c r="Y81" s="11" t="s">
        <v>208</v>
      </c>
      <c r="Z81" s="11" t="s">
        <v>208</v>
      </c>
      <c r="AA81" s="4" t="s">
        <v>208</v>
      </c>
      <c r="AB81" s="4"/>
      <c r="AC81" s="4"/>
    </row>
    <row r="82" spans="3:29" ht="15.75" x14ac:dyDescent="0.25">
      <c r="C82" s="9"/>
      <c r="D82" s="4"/>
      <c r="E82" s="7"/>
      <c r="F82" s="8"/>
      <c r="G82" s="9"/>
      <c r="H82" s="10"/>
      <c r="I82" s="4"/>
      <c r="J82" s="4"/>
      <c r="K82" s="4"/>
      <c r="L82" s="4"/>
      <c r="M82" s="4"/>
      <c r="N82" s="4"/>
      <c r="O82" s="4"/>
      <c r="P82" s="5" t="s">
        <v>208</v>
      </c>
      <c r="Q82" s="4" t="s">
        <v>208</v>
      </c>
      <c r="R82" s="10" t="s">
        <v>208</v>
      </c>
      <c r="S82" s="7" t="s">
        <v>208</v>
      </c>
      <c r="T82" s="4" t="s">
        <v>208</v>
      </c>
      <c r="U82" s="4" t="s">
        <v>208</v>
      </c>
      <c r="V82" s="9" t="s">
        <v>208</v>
      </c>
      <c r="W82" s="10" t="s">
        <v>208</v>
      </c>
      <c r="X82" s="11" t="s">
        <v>208</v>
      </c>
      <c r="Y82" s="11" t="s">
        <v>208</v>
      </c>
      <c r="Z82" s="11" t="s">
        <v>208</v>
      </c>
      <c r="AA82" s="4" t="s">
        <v>208</v>
      </c>
      <c r="AB82" s="4"/>
      <c r="AC82" s="4"/>
    </row>
    <row r="83" spans="3:29" ht="15.75" x14ac:dyDescent="0.25">
      <c r="C83" s="9"/>
      <c r="D83" s="4"/>
      <c r="E83" s="7"/>
      <c r="F83" s="8"/>
      <c r="G83" s="9"/>
      <c r="H83" s="10"/>
      <c r="I83" s="4"/>
      <c r="J83" s="4"/>
      <c r="K83" s="4"/>
      <c r="L83" s="4"/>
      <c r="M83" s="4"/>
      <c r="N83" s="4"/>
      <c r="O83" s="4"/>
      <c r="P83" s="5" t="s">
        <v>208</v>
      </c>
      <c r="Q83" s="4" t="s">
        <v>208</v>
      </c>
      <c r="R83" s="10" t="s">
        <v>208</v>
      </c>
      <c r="S83" s="7" t="s">
        <v>208</v>
      </c>
      <c r="T83" s="4" t="s">
        <v>208</v>
      </c>
      <c r="U83" s="4" t="s">
        <v>208</v>
      </c>
      <c r="V83" s="9" t="s">
        <v>208</v>
      </c>
      <c r="W83" s="10" t="s">
        <v>208</v>
      </c>
      <c r="X83" s="11" t="s">
        <v>208</v>
      </c>
      <c r="Y83" s="11" t="s">
        <v>208</v>
      </c>
      <c r="Z83" s="11" t="s">
        <v>208</v>
      </c>
      <c r="AA83" s="4" t="s">
        <v>208</v>
      </c>
      <c r="AB83" s="4"/>
      <c r="AC83" s="4"/>
    </row>
    <row r="84" spans="3:29" ht="15.75" x14ac:dyDescent="0.25">
      <c r="C84" s="9"/>
      <c r="D84" s="4"/>
      <c r="E84" s="7"/>
      <c r="F84" s="8"/>
      <c r="G84" s="9"/>
      <c r="H84" s="10"/>
      <c r="I84" s="4"/>
      <c r="J84" s="4"/>
      <c r="K84" s="4"/>
      <c r="L84" s="4"/>
      <c r="M84" s="4"/>
      <c r="N84" s="4"/>
      <c r="O84" s="4"/>
      <c r="P84" s="5" t="s">
        <v>208</v>
      </c>
      <c r="Q84" s="4" t="s">
        <v>208</v>
      </c>
      <c r="R84" s="10" t="s">
        <v>208</v>
      </c>
      <c r="S84" s="7" t="s">
        <v>208</v>
      </c>
      <c r="T84" s="4" t="s">
        <v>208</v>
      </c>
      <c r="U84" s="4" t="s">
        <v>208</v>
      </c>
      <c r="V84" s="9" t="s">
        <v>208</v>
      </c>
      <c r="W84" s="10" t="s">
        <v>208</v>
      </c>
      <c r="X84" s="11" t="s">
        <v>208</v>
      </c>
      <c r="Y84" s="11" t="s">
        <v>208</v>
      </c>
      <c r="Z84" s="11" t="s">
        <v>208</v>
      </c>
      <c r="AA84" s="4" t="s">
        <v>208</v>
      </c>
      <c r="AB84" s="4"/>
      <c r="AC84" s="4"/>
    </row>
    <row r="85" spans="3:29" ht="15.75" x14ac:dyDescent="0.25">
      <c r="C85" s="9"/>
      <c r="D85" s="4"/>
      <c r="E85" s="7"/>
      <c r="F85" s="8"/>
      <c r="G85" s="9"/>
      <c r="H85" s="10"/>
      <c r="I85" s="4"/>
      <c r="J85" s="4"/>
      <c r="K85" s="4"/>
      <c r="L85" s="4"/>
      <c r="M85" s="4"/>
      <c r="N85" s="4"/>
      <c r="O85" s="4"/>
      <c r="P85" s="5" t="s">
        <v>208</v>
      </c>
      <c r="Q85" s="4" t="s">
        <v>208</v>
      </c>
      <c r="R85" s="10" t="s">
        <v>208</v>
      </c>
      <c r="S85" s="7" t="s">
        <v>208</v>
      </c>
      <c r="T85" s="4" t="s">
        <v>208</v>
      </c>
      <c r="U85" s="4" t="s">
        <v>208</v>
      </c>
      <c r="V85" s="9" t="s">
        <v>208</v>
      </c>
      <c r="W85" s="10" t="s">
        <v>208</v>
      </c>
      <c r="X85" s="11" t="s">
        <v>208</v>
      </c>
      <c r="Y85" s="11" t="s">
        <v>208</v>
      </c>
      <c r="Z85" s="11" t="s">
        <v>208</v>
      </c>
      <c r="AA85" s="4" t="s">
        <v>208</v>
      </c>
      <c r="AB85" s="4"/>
      <c r="AC85" s="4"/>
    </row>
    <row r="86" spans="3:29" ht="15.75" x14ac:dyDescent="0.25">
      <c r="C86" s="9"/>
      <c r="D86" s="4"/>
      <c r="E86" s="7"/>
      <c r="F86" s="8"/>
      <c r="G86" s="9"/>
      <c r="H86" s="10"/>
      <c r="I86" s="4"/>
      <c r="J86" s="4"/>
      <c r="K86" s="4"/>
      <c r="L86" s="4"/>
      <c r="M86" s="4"/>
      <c r="N86" s="4"/>
      <c r="O86" s="4"/>
      <c r="P86" s="5" t="s">
        <v>208</v>
      </c>
      <c r="Q86" s="4" t="s">
        <v>208</v>
      </c>
      <c r="R86" s="10" t="s">
        <v>208</v>
      </c>
      <c r="S86" s="7" t="s">
        <v>208</v>
      </c>
      <c r="T86" s="4" t="s">
        <v>208</v>
      </c>
      <c r="U86" s="4" t="s">
        <v>208</v>
      </c>
      <c r="V86" s="9" t="s">
        <v>208</v>
      </c>
      <c r="W86" s="10" t="s">
        <v>208</v>
      </c>
      <c r="X86" s="11" t="s">
        <v>208</v>
      </c>
      <c r="Y86" s="11" t="s">
        <v>208</v>
      </c>
      <c r="Z86" s="11" t="s">
        <v>208</v>
      </c>
      <c r="AA86" s="4" t="s">
        <v>208</v>
      </c>
      <c r="AB86" s="4"/>
      <c r="AC86" s="4"/>
    </row>
    <row r="87" spans="3:29" ht="15.75" x14ac:dyDescent="0.25">
      <c r="C87" s="9"/>
      <c r="D87" s="4"/>
      <c r="E87" s="7"/>
      <c r="F87" s="8"/>
      <c r="G87" s="9"/>
      <c r="H87" s="10"/>
      <c r="I87" s="4"/>
      <c r="J87" s="4"/>
      <c r="K87" s="4"/>
      <c r="L87" s="4"/>
      <c r="M87" s="4"/>
      <c r="N87" s="4"/>
      <c r="O87" s="4"/>
      <c r="P87" s="5" t="s">
        <v>208</v>
      </c>
      <c r="Q87" s="4" t="s">
        <v>208</v>
      </c>
      <c r="R87" s="10" t="s">
        <v>208</v>
      </c>
      <c r="S87" s="7" t="s">
        <v>208</v>
      </c>
      <c r="T87" s="4" t="s">
        <v>208</v>
      </c>
      <c r="U87" s="4" t="s">
        <v>208</v>
      </c>
      <c r="V87" s="9" t="s">
        <v>208</v>
      </c>
      <c r="W87" s="10" t="s">
        <v>208</v>
      </c>
      <c r="X87" s="11" t="s">
        <v>208</v>
      </c>
      <c r="Y87" s="11" t="s">
        <v>208</v>
      </c>
      <c r="Z87" s="11" t="s">
        <v>208</v>
      </c>
      <c r="AA87" s="4" t="s">
        <v>208</v>
      </c>
      <c r="AB87" s="4"/>
      <c r="AC87" s="4"/>
    </row>
    <row r="88" spans="3:29" ht="15.75" x14ac:dyDescent="0.25">
      <c r="C88" s="9"/>
      <c r="D88" s="4"/>
      <c r="E88" s="7"/>
      <c r="F88" s="8"/>
      <c r="G88" s="9"/>
      <c r="H88" s="10"/>
      <c r="I88" s="4"/>
      <c r="J88" s="4"/>
      <c r="K88" s="4"/>
      <c r="L88" s="4"/>
      <c r="M88" s="4"/>
      <c r="N88" s="4"/>
      <c r="O88" s="4"/>
      <c r="P88" s="5" t="s">
        <v>208</v>
      </c>
      <c r="Q88" s="4" t="s">
        <v>208</v>
      </c>
      <c r="R88" s="10" t="s">
        <v>208</v>
      </c>
      <c r="S88" s="7" t="s">
        <v>208</v>
      </c>
      <c r="T88" s="4" t="s">
        <v>208</v>
      </c>
      <c r="U88" s="4" t="s">
        <v>208</v>
      </c>
      <c r="V88" s="9" t="s">
        <v>208</v>
      </c>
      <c r="W88" s="10" t="s">
        <v>208</v>
      </c>
      <c r="X88" s="11" t="s">
        <v>208</v>
      </c>
      <c r="Y88" s="11" t="s">
        <v>208</v>
      </c>
      <c r="Z88" s="11" t="s">
        <v>208</v>
      </c>
      <c r="AA88" s="4" t="s">
        <v>208</v>
      </c>
      <c r="AB88" s="4"/>
      <c r="AC88" s="4"/>
    </row>
    <row r="89" spans="3:29" ht="15.75" x14ac:dyDescent="0.25">
      <c r="C89" s="9"/>
      <c r="D89" s="4"/>
      <c r="E89" s="7"/>
      <c r="F89" s="8"/>
      <c r="G89" s="9"/>
      <c r="H89" s="10"/>
      <c r="I89" s="4"/>
      <c r="J89" s="4"/>
      <c r="K89" s="4"/>
      <c r="L89" s="4"/>
      <c r="M89" s="4"/>
      <c r="N89" s="4"/>
      <c r="O89" s="4"/>
      <c r="P89" s="5" t="s">
        <v>208</v>
      </c>
      <c r="Q89" s="4" t="s">
        <v>208</v>
      </c>
      <c r="R89" s="10" t="s">
        <v>208</v>
      </c>
      <c r="S89" s="7" t="s">
        <v>208</v>
      </c>
      <c r="T89" s="4" t="s">
        <v>208</v>
      </c>
      <c r="U89" s="4" t="s">
        <v>208</v>
      </c>
      <c r="V89" s="9" t="s">
        <v>208</v>
      </c>
      <c r="W89" s="10" t="s">
        <v>208</v>
      </c>
      <c r="X89" s="11" t="s">
        <v>208</v>
      </c>
      <c r="Y89" s="11" t="s">
        <v>208</v>
      </c>
      <c r="Z89" s="11" t="s">
        <v>208</v>
      </c>
      <c r="AA89" s="4" t="s">
        <v>208</v>
      </c>
      <c r="AB89" s="4"/>
      <c r="AC89" s="4"/>
    </row>
    <row r="90" spans="3:29" ht="15.75" x14ac:dyDescent="0.25">
      <c r="C90" s="9"/>
      <c r="D90" s="4"/>
      <c r="E90" s="7"/>
      <c r="F90" s="8"/>
      <c r="G90" s="9"/>
      <c r="H90" s="10"/>
      <c r="I90" s="4"/>
      <c r="J90" s="4"/>
      <c r="K90" s="4"/>
      <c r="L90" s="4"/>
      <c r="M90" s="4"/>
      <c r="N90" s="4"/>
      <c r="O90" s="4"/>
      <c r="P90" s="5" t="s">
        <v>208</v>
      </c>
      <c r="Q90" s="4" t="s">
        <v>208</v>
      </c>
      <c r="R90" s="10" t="s">
        <v>208</v>
      </c>
      <c r="S90" s="7" t="s">
        <v>208</v>
      </c>
      <c r="T90" s="4" t="s">
        <v>208</v>
      </c>
      <c r="U90" s="4" t="s">
        <v>208</v>
      </c>
      <c r="V90" s="9" t="s">
        <v>208</v>
      </c>
      <c r="W90" s="10" t="s">
        <v>208</v>
      </c>
      <c r="X90" s="11" t="s">
        <v>208</v>
      </c>
      <c r="Y90" s="11" t="s">
        <v>208</v>
      </c>
      <c r="Z90" s="11" t="s">
        <v>208</v>
      </c>
      <c r="AA90" s="4" t="s">
        <v>208</v>
      </c>
      <c r="AB90" s="4"/>
      <c r="AC90" s="4"/>
    </row>
    <row r="91" spans="3:29" ht="15.75" x14ac:dyDescent="0.25">
      <c r="C91" s="9"/>
      <c r="D91" s="4"/>
      <c r="E91" s="7"/>
      <c r="F91" s="8"/>
      <c r="G91" s="9"/>
      <c r="H91" s="10"/>
      <c r="I91" s="4"/>
      <c r="J91" s="4"/>
      <c r="K91" s="4"/>
      <c r="L91" s="4"/>
      <c r="M91" s="4"/>
      <c r="N91" s="4"/>
      <c r="O91" s="4"/>
      <c r="P91" s="5" t="s">
        <v>208</v>
      </c>
      <c r="Q91" s="4" t="s">
        <v>208</v>
      </c>
      <c r="R91" s="10" t="s">
        <v>208</v>
      </c>
      <c r="S91" s="7" t="s">
        <v>208</v>
      </c>
      <c r="T91" s="4" t="s">
        <v>208</v>
      </c>
      <c r="U91" s="4" t="s">
        <v>208</v>
      </c>
      <c r="V91" s="9" t="s">
        <v>208</v>
      </c>
      <c r="W91" s="10" t="s">
        <v>208</v>
      </c>
      <c r="X91" s="11" t="s">
        <v>208</v>
      </c>
      <c r="Y91" s="11" t="s">
        <v>208</v>
      </c>
      <c r="Z91" s="11" t="s">
        <v>208</v>
      </c>
      <c r="AA91" s="4" t="s">
        <v>208</v>
      </c>
      <c r="AB91" s="4"/>
      <c r="AC91" s="4"/>
    </row>
    <row r="92" spans="3:29" ht="15.75" x14ac:dyDescent="0.25">
      <c r="C92" s="9"/>
      <c r="D92" s="4"/>
      <c r="E92" s="7"/>
      <c r="F92" s="8"/>
      <c r="G92" s="9"/>
      <c r="H92" s="10"/>
      <c r="I92" s="4"/>
      <c r="J92" s="4"/>
      <c r="K92" s="4"/>
      <c r="L92" s="4"/>
      <c r="M92" s="4"/>
      <c r="N92" s="4"/>
      <c r="O92" s="4"/>
      <c r="P92" s="5" t="s">
        <v>208</v>
      </c>
      <c r="Q92" s="4" t="s">
        <v>208</v>
      </c>
      <c r="R92" s="10" t="s">
        <v>208</v>
      </c>
      <c r="S92" s="7" t="s">
        <v>208</v>
      </c>
      <c r="T92" s="4" t="s">
        <v>208</v>
      </c>
      <c r="U92" s="4" t="s">
        <v>208</v>
      </c>
      <c r="V92" s="9" t="s">
        <v>208</v>
      </c>
      <c r="W92" s="10" t="s">
        <v>208</v>
      </c>
      <c r="X92" s="11" t="s">
        <v>208</v>
      </c>
      <c r="Y92" s="11" t="s">
        <v>208</v>
      </c>
      <c r="Z92" s="11" t="s">
        <v>208</v>
      </c>
      <c r="AA92" s="4" t="s">
        <v>208</v>
      </c>
      <c r="AB92" s="4"/>
      <c r="AC92" s="4"/>
    </row>
    <row r="93" spans="3:29" ht="15.75" x14ac:dyDescent="0.25">
      <c r="C93" s="9"/>
      <c r="D93" s="4"/>
      <c r="E93" s="7"/>
      <c r="F93" s="8"/>
      <c r="G93" s="9"/>
      <c r="H93" s="10"/>
      <c r="I93" s="4"/>
      <c r="J93" s="4"/>
      <c r="K93" s="4"/>
      <c r="L93" s="4"/>
      <c r="M93" s="4"/>
      <c r="N93" s="4"/>
      <c r="O93" s="4"/>
      <c r="P93" s="5" t="s">
        <v>208</v>
      </c>
      <c r="Q93" s="4" t="s">
        <v>208</v>
      </c>
      <c r="R93" s="10" t="s">
        <v>208</v>
      </c>
      <c r="S93" s="7" t="s">
        <v>208</v>
      </c>
      <c r="T93" s="4" t="s">
        <v>208</v>
      </c>
      <c r="U93" s="4" t="s">
        <v>208</v>
      </c>
      <c r="V93" s="9" t="s">
        <v>208</v>
      </c>
      <c r="W93" s="10" t="s">
        <v>208</v>
      </c>
      <c r="X93" s="11" t="s">
        <v>208</v>
      </c>
      <c r="Y93" s="11" t="s">
        <v>208</v>
      </c>
      <c r="Z93" s="11" t="s">
        <v>208</v>
      </c>
      <c r="AA93" s="4" t="s">
        <v>208</v>
      </c>
      <c r="AB93" s="4"/>
      <c r="AC93" s="4"/>
    </row>
    <row r="94" spans="3:29" ht="15.75" x14ac:dyDescent="0.25">
      <c r="C94" s="9"/>
      <c r="D94" s="4"/>
      <c r="E94" s="7"/>
      <c r="F94" s="8"/>
      <c r="G94" s="9"/>
      <c r="H94" s="10"/>
      <c r="I94" s="4"/>
      <c r="J94" s="4"/>
      <c r="K94" s="4"/>
      <c r="L94" s="4"/>
      <c r="M94" s="4"/>
      <c r="N94" s="4"/>
      <c r="O94" s="4"/>
      <c r="P94" s="5" t="s">
        <v>208</v>
      </c>
      <c r="Q94" s="4" t="s">
        <v>208</v>
      </c>
      <c r="R94" s="10" t="s">
        <v>208</v>
      </c>
      <c r="S94" s="7" t="s">
        <v>208</v>
      </c>
      <c r="T94" s="4" t="s">
        <v>208</v>
      </c>
      <c r="U94" s="4" t="s">
        <v>208</v>
      </c>
      <c r="V94" s="9" t="s">
        <v>208</v>
      </c>
      <c r="W94" s="10" t="s">
        <v>208</v>
      </c>
      <c r="X94" s="11" t="s">
        <v>208</v>
      </c>
      <c r="Y94" s="11" t="s">
        <v>208</v>
      </c>
      <c r="Z94" s="11" t="s">
        <v>208</v>
      </c>
      <c r="AA94" s="4" t="s">
        <v>208</v>
      </c>
      <c r="AB94" s="4"/>
      <c r="AC94" s="4"/>
    </row>
    <row r="95" spans="3:29" ht="15.75" x14ac:dyDescent="0.25">
      <c r="C95" s="9"/>
      <c r="D95" s="4"/>
      <c r="E95" s="7"/>
      <c r="F95" s="8"/>
      <c r="G95" s="9"/>
      <c r="H95" s="10"/>
      <c r="I95" s="4"/>
      <c r="J95" s="4"/>
      <c r="K95" s="4"/>
      <c r="L95" s="4"/>
      <c r="M95" s="4"/>
      <c r="N95" s="4"/>
      <c r="O95" s="4"/>
      <c r="P95" s="5" t="s">
        <v>208</v>
      </c>
      <c r="Q95" s="4" t="s">
        <v>208</v>
      </c>
      <c r="R95" s="10" t="s">
        <v>208</v>
      </c>
      <c r="S95" s="7" t="s">
        <v>208</v>
      </c>
      <c r="T95" s="4" t="s">
        <v>208</v>
      </c>
      <c r="U95" s="4" t="s">
        <v>208</v>
      </c>
      <c r="V95" s="9" t="s">
        <v>208</v>
      </c>
      <c r="W95" s="10" t="s">
        <v>208</v>
      </c>
      <c r="X95" s="11" t="s">
        <v>208</v>
      </c>
      <c r="Y95" s="11" t="s">
        <v>208</v>
      </c>
      <c r="Z95" s="11" t="s">
        <v>208</v>
      </c>
      <c r="AA95" s="4" t="s">
        <v>208</v>
      </c>
      <c r="AB95" s="4"/>
      <c r="AC95" s="4"/>
    </row>
    <row r="96" spans="3:29" ht="15.75" x14ac:dyDescent="0.25">
      <c r="C96" s="9"/>
      <c r="D96" s="4"/>
      <c r="E96" s="7"/>
      <c r="F96" s="8"/>
      <c r="G96" s="9"/>
      <c r="H96" s="10"/>
      <c r="I96" s="4"/>
      <c r="J96" s="4"/>
      <c r="K96" s="4"/>
      <c r="L96" s="4"/>
      <c r="M96" s="4"/>
      <c r="N96" s="4"/>
      <c r="O96" s="4"/>
      <c r="P96" s="5" t="s">
        <v>208</v>
      </c>
      <c r="Q96" s="4" t="s">
        <v>208</v>
      </c>
      <c r="R96" s="10" t="s">
        <v>208</v>
      </c>
      <c r="S96" s="7" t="s">
        <v>208</v>
      </c>
      <c r="T96" s="4" t="s">
        <v>208</v>
      </c>
      <c r="U96" s="4" t="s">
        <v>208</v>
      </c>
      <c r="V96" s="9" t="s">
        <v>208</v>
      </c>
      <c r="W96" s="10" t="s">
        <v>208</v>
      </c>
      <c r="X96" s="11" t="s">
        <v>208</v>
      </c>
      <c r="Y96" s="11" t="s">
        <v>208</v>
      </c>
      <c r="Z96" s="11" t="s">
        <v>208</v>
      </c>
      <c r="AA96" s="4" t="s">
        <v>208</v>
      </c>
      <c r="AB96" s="4"/>
      <c r="AC96" s="4"/>
    </row>
    <row r="97" spans="3:29" ht="15.75" x14ac:dyDescent="0.25">
      <c r="C97" s="9"/>
      <c r="D97" s="4"/>
      <c r="E97" s="7"/>
      <c r="F97" s="8"/>
      <c r="G97" s="9"/>
      <c r="H97" s="10"/>
      <c r="I97" s="4"/>
      <c r="J97" s="4"/>
      <c r="K97" s="4"/>
      <c r="L97" s="4"/>
      <c r="M97" s="4"/>
      <c r="N97" s="4"/>
      <c r="O97" s="4"/>
      <c r="P97" s="5" t="s">
        <v>208</v>
      </c>
      <c r="Q97" s="4" t="s">
        <v>208</v>
      </c>
      <c r="R97" s="10" t="s">
        <v>208</v>
      </c>
      <c r="S97" s="7" t="s">
        <v>208</v>
      </c>
      <c r="T97" s="4" t="s">
        <v>208</v>
      </c>
      <c r="U97" s="4" t="s">
        <v>208</v>
      </c>
      <c r="V97" s="9" t="s">
        <v>208</v>
      </c>
      <c r="W97" s="10" t="s">
        <v>208</v>
      </c>
      <c r="X97" s="11" t="s">
        <v>208</v>
      </c>
      <c r="Y97" s="11" t="s">
        <v>208</v>
      </c>
      <c r="Z97" s="11" t="s">
        <v>208</v>
      </c>
      <c r="AA97" s="4" t="s">
        <v>208</v>
      </c>
      <c r="AB97" s="4"/>
      <c r="AC97" s="4"/>
    </row>
    <row r="98" spans="3:29" ht="15.75" x14ac:dyDescent="0.25">
      <c r="C98" s="9"/>
      <c r="D98" s="4"/>
      <c r="E98" s="7"/>
      <c r="F98" s="8"/>
      <c r="G98" s="9"/>
      <c r="H98" s="10"/>
      <c r="I98" s="4"/>
      <c r="J98" s="4"/>
      <c r="K98" s="4"/>
      <c r="L98" s="4"/>
      <c r="M98" s="4"/>
      <c r="N98" s="4"/>
      <c r="O98" s="4"/>
      <c r="P98" s="5" t="s">
        <v>208</v>
      </c>
      <c r="Q98" s="4" t="s">
        <v>208</v>
      </c>
      <c r="R98" s="10" t="s">
        <v>208</v>
      </c>
      <c r="S98" s="7" t="s">
        <v>208</v>
      </c>
      <c r="T98" s="4" t="s">
        <v>208</v>
      </c>
      <c r="U98" s="4" t="s">
        <v>208</v>
      </c>
      <c r="V98" s="9" t="s">
        <v>208</v>
      </c>
      <c r="W98" s="10" t="s">
        <v>208</v>
      </c>
      <c r="X98" s="11" t="s">
        <v>208</v>
      </c>
      <c r="Y98" s="11" t="s">
        <v>208</v>
      </c>
      <c r="Z98" s="11" t="s">
        <v>208</v>
      </c>
      <c r="AA98" s="4" t="s">
        <v>208</v>
      </c>
      <c r="AB98" s="4"/>
      <c r="AC98" s="4"/>
    </row>
    <row r="99" spans="3:29" ht="15.75" x14ac:dyDescent="0.25">
      <c r="C99" s="9"/>
      <c r="D99" s="4"/>
      <c r="E99" s="7"/>
      <c r="F99" s="8"/>
      <c r="G99" s="9"/>
      <c r="H99" s="10"/>
      <c r="I99" s="4"/>
      <c r="J99" s="4"/>
      <c r="K99" s="4"/>
      <c r="L99" s="4"/>
      <c r="M99" s="4"/>
      <c r="N99" s="4"/>
      <c r="O99" s="4"/>
      <c r="P99" s="5" t="s">
        <v>208</v>
      </c>
      <c r="Q99" s="4" t="s">
        <v>208</v>
      </c>
      <c r="R99" s="10" t="s">
        <v>208</v>
      </c>
      <c r="S99" s="7" t="s">
        <v>208</v>
      </c>
      <c r="T99" s="4" t="s">
        <v>208</v>
      </c>
      <c r="U99" s="4" t="s">
        <v>208</v>
      </c>
      <c r="V99" s="9" t="s">
        <v>208</v>
      </c>
      <c r="W99" s="10" t="s">
        <v>208</v>
      </c>
      <c r="X99" s="11" t="s">
        <v>208</v>
      </c>
      <c r="Y99" s="11" t="s">
        <v>208</v>
      </c>
      <c r="Z99" s="11" t="s">
        <v>208</v>
      </c>
      <c r="AA99" s="4" t="s">
        <v>208</v>
      </c>
      <c r="AB99" s="4"/>
      <c r="AC99" s="4"/>
    </row>
    <row r="100" spans="3:29" ht="15.75" x14ac:dyDescent="0.25">
      <c r="C100" s="9"/>
      <c r="D100" s="4"/>
      <c r="E100" s="7"/>
      <c r="F100" s="8"/>
      <c r="G100" s="9"/>
      <c r="H100" s="10"/>
      <c r="I100" s="4"/>
      <c r="J100" s="4"/>
      <c r="K100" s="4"/>
      <c r="L100" s="4"/>
      <c r="M100" s="4"/>
      <c r="N100" s="4"/>
      <c r="O100" s="4"/>
      <c r="P100" s="5" t="s">
        <v>208</v>
      </c>
      <c r="Q100" s="4" t="s">
        <v>208</v>
      </c>
      <c r="R100" s="10" t="s">
        <v>208</v>
      </c>
      <c r="S100" s="7" t="s">
        <v>208</v>
      </c>
      <c r="T100" s="4" t="s">
        <v>208</v>
      </c>
      <c r="U100" s="4" t="s">
        <v>208</v>
      </c>
      <c r="V100" s="9" t="s">
        <v>208</v>
      </c>
      <c r="W100" s="10" t="s">
        <v>208</v>
      </c>
      <c r="X100" s="11" t="s">
        <v>208</v>
      </c>
      <c r="Y100" s="11" t="s">
        <v>208</v>
      </c>
      <c r="Z100" s="11" t="s">
        <v>208</v>
      </c>
      <c r="AA100" s="4" t="s">
        <v>208</v>
      </c>
      <c r="AB100" s="4"/>
      <c r="AC100" s="4"/>
    </row>
    <row r="101" spans="3:29" ht="15.75" x14ac:dyDescent="0.25">
      <c r="C101" s="9"/>
      <c r="D101" s="4"/>
      <c r="E101" s="7"/>
      <c r="F101" s="8"/>
      <c r="G101" s="9"/>
      <c r="H101" s="10"/>
      <c r="I101" s="4"/>
      <c r="J101" s="4"/>
      <c r="K101" s="4"/>
      <c r="L101" s="4"/>
      <c r="M101" s="4"/>
      <c r="N101" s="4"/>
      <c r="O101" s="4"/>
      <c r="P101" s="5" t="s">
        <v>208</v>
      </c>
      <c r="Q101" s="4" t="s">
        <v>208</v>
      </c>
      <c r="R101" s="10" t="s">
        <v>208</v>
      </c>
      <c r="S101" s="7" t="s">
        <v>208</v>
      </c>
      <c r="T101" s="4" t="s">
        <v>208</v>
      </c>
      <c r="U101" s="4" t="s">
        <v>208</v>
      </c>
      <c r="V101" s="9" t="s">
        <v>208</v>
      </c>
      <c r="W101" s="10" t="s">
        <v>208</v>
      </c>
      <c r="X101" s="11" t="s">
        <v>208</v>
      </c>
      <c r="Y101" s="11" t="s">
        <v>208</v>
      </c>
      <c r="Z101" s="11" t="s">
        <v>208</v>
      </c>
      <c r="AA101" s="4" t="s">
        <v>208</v>
      </c>
      <c r="AB101" s="4"/>
      <c r="AC101" s="4"/>
    </row>
    <row r="102" spans="3:29" ht="15.75" x14ac:dyDescent="0.25">
      <c r="C102" s="9"/>
      <c r="D102" s="4"/>
      <c r="E102" s="7"/>
      <c r="F102" s="8"/>
      <c r="G102" s="9"/>
      <c r="H102" s="10"/>
      <c r="I102" s="4"/>
      <c r="J102" s="4"/>
      <c r="K102" s="4"/>
      <c r="L102" s="4"/>
      <c r="M102" s="4"/>
      <c r="N102" s="4"/>
      <c r="O102" s="4"/>
      <c r="P102" s="5" t="s">
        <v>208</v>
      </c>
      <c r="Q102" s="4" t="s">
        <v>208</v>
      </c>
      <c r="R102" s="10" t="s">
        <v>208</v>
      </c>
      <c r="S102" s="7" t="s">
        <v>208</v>
      </c>
      <c r="T102" s="4" t="s">
        <v>208</v>
      </c>
      <c r="U102" s="4" t="s">
        <v>208</v>
      </c>
      <c r="V102" s="9" t="s">
        <v>208</v>
      </c>
      <c r="W102" s="10" t="s">
        <v>208</v>
      </c>
      <c r="X102" s="11" t="s">
        <v>208</v>
      </c>
      <c r="Y102" s="11" t="s">
        <v>208</v>
      </c>
      <c r="Z102" s="11" t="s">
        <v>208</v>
      </c>
      <c r="AA102" s="4" t="s">
        <v>208</v>
      </c>
      <c r="AB102" s="4"/>
      <c r="AC102" s="4"/>
    </row>
    <row r="103" spans="3:29" ht="15.75" x14ac:dyDescent="0.25">
      <c r="C103" s="9"/>
      <c r="D103" s="4"/>
      <c r="E103" s="7"/>
      <c r="F103" s="8"/>
      <c r="G103" s="9"/>
      <c r="H103" s="10"/>
      <c r="I103" s="4"/>
      <c r="J103" s="4"/>
      <c r="K103" s="4"/>
      <c r="L103" s="4"/>
      <c r="M103" s="4"/>
      <c r="N103" s="4"/>
      <c r="O103" s="4"/>
      <c r="P103" s="5" t="s">
        <v>208</v>
      </c>
      <c r="Q103" s="4" t="s">
        <v>208</v>
      </c>
      <c r="R103" s="10" t="s">
        <v>208</v>
      </c>
      <c r="S103" s="7" t="s">
        <v>208</v>
      </c>
      <c r="T103" s="4" t="s">
        <v>208</v>
      </c>
      <c r="U103" s="4" t="s">
        <v>208</v>
      </c>
      <c r="V103" s="9" t="s">
        <v>208</v>
      </c>
      <c r="W103" s="10" t="s">
        <v>208</v>
      </c>
      <c r="X103" s="11" t="s">
        <v>208</v>
      </c>
      <c r="Y103" s="11" t="s">
        <v>208</v>
      </c>
      <c r="Z103" s="11" t="s">
        <v>208</v>
      </c>
      <c r="AA103" s="4" t="s">
        <v>208</v>
      </c>
      <c r="AB103" s="4"/>
      <c r="AC103" s="4"/>
    </row>
    <row r="104" spans="3:29" ht="15.75" x14ac:dyDescent="0.25">
      <c r="C104" s="9"/>
      <c r="D104" s="4"/>
      <c r="E104" s="7"/>
      <c r="F104" s="8"/>
      <c r="G104" s="9"/>
      <c r="H104" s="10"/>
      <c r="I104" s="4"/>
      <c r="J104" s="4"/>
      <c r="K104" s="4"/>
      <c r="L104" s="4"/>
      <c r="M104" s="4"/>
      <c r="N104" s="4"/>
      <c r="O104" s="4"/>
      <c r="P104" s="5" t="s">
        <v>208</v>
      </c>
      <c r="Q104" s="4" t="s">
        <v>208</v>
      </c>
      <c r="R104" s="10" t="s">
        <v>208</v>
      </c>
      <c r="S104" s="7" t="s">
        <v>208</v>
      </c>
      <c r="T104" s="4" t="s">
        <v>208</v>
      </c>
      <c r="U104" s="4" t="s">
        <v>208</v>
      </c>
      <c r="V104" s="9" t="s">
        <v>208</v>
      </c>
      <c r="W104" s="10" t="s">
        <v>208</v>
      </c>
      <c r="X104" s="11" t="s">
        <v>208</v>
      </c>
      <c r="Y104" s="11" t="s">
        <v>208</v>
      </c>
      <c r="Z104" s="11" t="s">
        <v>208</v>
      </c>
      <c r="AA104" s="4" t="s">
        <v>208</v>
      </c>
      <c r="AB104" s="4"/>
      <c r="AC104" s="4"/>
    </row>
    <row r="105" spans="3:29" ht="15.75" x14ac:dyDescent="0.25">
      <c r="C105" s="9"/>
      <c r="D105" s="4"/>
      <c r="E105" s="7"/>
      <c r="F105" s="8"/>
      <c r="G105" s="9"/>
      <c r="H105" s="10"/>
      <c r="I105" s="4"/>
      <c r="J105" s="4"/>
      <c r="K105" s="4"/>
      <c r="L105" s="4"/>
      <c r="M105" s="4"/>
      <c r="N105" s="4"/>
      <c r="O105" s="4"/>
      <c r="P105" s="5" t="s">
        <v>208</v>
      </c>
      <c r="Q105" s="4" t="s">
        <v>208</v>
      </c>
      <c r="R105" s="10" t="s">
        <v>208</v>
      </c>
      <c r="S105" s="7" t="s">
        <v>208</v>
      </c>
      <c r="T105" s="4" t="s">
        <v>208</v>
      </c>
      <c r="U105" s="4" t="s">
        <v>208</v>
      </c>
      <c r="V105" s="9" t="s">
        <v>208</v>
      </c>
      <c r="W105" s="10" t="s">
        <v>208</v>
      </c>
      <c r="X105" s="11" t="s">
        <v>208</v>
      </c>
      <c r="Y105" s="11" t="s">
        <v>208</v>
      </c>
      <c r="Z105" s="11" t="s">
        <v>208</v>
      </c>
      <c r="AA105" s="4" t="s">
        <v>208</v>
      </c>
      <c r="AB105" s="4"/>
      <c r="AC105" s="4"/>
    </row>
  </sheetData>
  <autoFilter ref="C5:AC78" xr:uid="{00000000-0009-0000-0000-000000000000}">
    <filterColumn colId="14">
      <filters>
        <filter val="1 năm"/>
      </filters>
    </filterColumn>
  </autoFilter>
  <mergeCells count="3">
    <mergeCell ref="D3:N3"/>
    <mergeCell ref="P3:AA3"/>
    <mergeCell ref="C3:C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FABD-77E6-4720-AA3A-AE94F2CAADF8}">
  <sheetPr>
    <tabColor theme="5" tint="0.79998168889431442"/>
  </sheetPr>
  <dimension ref="A2:R23"/>
  <sheetViews>
    <sheetView zoomScale="80" zoomScaleNormal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18" sqref="A18"/>
    </sheetView>
  </sheetViews>
  <sheetFormatPr defaultColWidth="9.140625" defaultRowHeight="15" x14ac:dyDescent="0.25"/>
  <cols>
    <col min="1" max="1" width="7.140625" style="119" customWidth="1"/>
    <col min="2" max="2" width="15.28515625" style="119" customWidth="1"/>
    <col min="3" max="3" width="26.85546875" style="119" customWidth="1"/>
    <col min="4" max="4" width="14.7109375" style="119" bestFit="1" customWidth="1"/>
    <col min="5" max="6" width="14.7109375" style="119" customWidth="1"/>
    <col min="7" max="7" width="10.85546875" style="119" customWidth="1"/>
    <col min="8" max="8" width="12.85546875" style="119" customWidth="1"/>
    <col min="9" max="9" width="14.7109375" style="119" customWidth="1"/>
    <col min="10" max="11" width="16.42578125" style="119" customWidth="1"/>
    <col min="12" max="12" width="14.7109375" style="119" customWidth="1"/>
    <col min="13" max="13" width="15.42578125" style="119" customWidth="1"/>
    <col min="14" max="14" width="11.42578125" style="119" bestFit="1" customWidth="1"/>
    <col min="15" max="15" width="10.85546875" style="119" bestFit="1" customWidth="1"/>
    <col min="16" max="16" width="11.42578125" style="119" bestFit="1" customWidth="1"/>
    <col min="17" max="18" width="11.5703125" style="119" bestFit="1" customWidth="1"/>
    <col min="19" max="16384" width="9.140625" style="119"/>
  </cols>
  <sheetData>
    <row r="2" spans="1:18" ht="25.5" x14ac:dyDescent="0.2">
      <c r="A2" s="483" t="s">
        <v>533</v>
      </c>
      <c r="B2" s="483"/>
      <c r="C2" s="483"/>
      <c r="M2" s="275">
        <v>5000000</v>
      </c>
      <c r="N2" s="275">
        <v>10000000</v>
      </c>
      <c r="O2" s="275">
        <v>8000000</v>
      </c>
      <c r="P2" s="275">
        <v>18000000</v>
      </c>
      <c r="Q2" s="275">
        <v>32000000</v>
      </c>
      <c r="R2" s="275">
        <v>52000000</v>
      </c>
    </row>
    <row r="3" spans="1:18" x14ac:dyDescent="0.2">
      <c r="M3" s="278">
        <v>0.05</v>
      </c>
      <c r="N3" s="278">
        <v>0.1</v>
      </c>
      <c r="O3" s="278">
        <v>0.15</v>
      </c>
      <c r="P3" s="278">
        <v>0.2</v>
      </c>
      <c r="Q3" s="278">
        <v>0.25</v>
      </c>
      <c r="R3" s="278">
        <v>0.3</v>
      </c>
    </row>
    <row r="4" spans="1:18" s="201" customFormat="1" ht="15" customHeight="1" x14ac:dyDescent="0.25">
      <c r="A4" s="484" t="s">
        <v>15</v>
      </c>
      <c r="B4" s="484" t="s">
        <v>16</v>
      </c>
      <c r="C4" s="484" t="s">
        <v>17</v>
      </c>
      <c r="D4" s="536" t="s">
        <v>629</v>
      </c>
      <c r="E4" s="536" t="s">
        <v>618</v>
      </c>
      <c r="F4" s="536" t="s">
        <v>617</v>
      </c>
      <c r="G4" s="536" t="s">
        <v>623</v>
      </c>
      <c r="H4" s="486" t="s">
        <v>619</v>
      </c>
      <c r="I4" s="536" t="s">
        <v>620</v>
      </c>
      <c r="J4" s="536" t="s">
        <v>621</v>
      </c>
      <c r="K4" s="486" t="s">
        <v>622</v>
      </c>
      <c r="L4" s="536" t="s">
        <v>624</v>
      </c>
      <c r="M4" s="486" t="s">
        <v>594</v>
      </c>
    </row>
    <row r="5" spans="1:18" s="201" customFormat="1" ht="31.15" customHeight="1" x14ac:dyDescent="0.25">
      <c r="A5" s="484"/>
      <c r="B5" s="484"/>
      <c r="C5" s="484"/>
      <c r="D5" s="486"/>
      <c r="E5" s="536"/>
      <c r="F5" s="536"/>
      <c r="G5" s="536"/>
      <c r="H5" s="486"/>
      <c r="I5" s="536"/>
      <c r="J5" s="536"/>
      <c r="K5" s="486"/>
      <c r="L5" s="536"/>
      <c r="M5" s="486"/>
    </row>
    <row r="6" spans="1:18" s="201" customFormat="1" ht="14.25" x14ac:dyDescent="0.25">
      <c r="A6" s="484"/>
      <c r="B6" s="484"/>
      <c r="C6" s="484"/>
      <c r="D6" s="486"/>
      <c r="E6" s="536"/>
      <c r="F6" s="279"/>
      <c r="G6" s="279"/>
      <c r="H6" s="279"/>
      <c r="I6" s="279"/>
      <c r="J6" s="279"/>
      <c r="K6" s="279"/>
      <c r="L6" s="279"/>
      <c r="M6" s="279"/>
    </row>
    <row r="7" spans="1:18" s="121" customFormat="1" ht="17.45" customHeight="1" x14ac:dyDescent="0.25">
      <c r="A7" s="208">
        <v>1</v>
      </c>
      <c r="B7" s="208">
        <v>2</v>
      </c>
      <c r="C7" s="208">
        <v>3</v>
      </c>
      <c r="D7" s="208">
        <v>4</v>
      </c>
      <c r="E7" s="208">
        <v>5</v>
      </c>
      <c r="F7" s="208">
        <v>6</v>
      </c>
      <c r="G7" s="208">
        <v>7</v>
      </c>
      <c r="H7" s="208">
        <v>8</v>
      </c>
      <c r="I7" s="208" t="s">
        <v>631</v>
      </c>
      <c r="J7" s="208">
        <v>10</v>
      </c>
      <c r="K7" s="208" t="s">
        <v>630</v>
      </c>
      <c r="L7" s="208" t="s">
        <v>632</v>
      </c>
      <c r="M7" s="208">
        <v>13</v>
      </c>
    </row>
    <row r="8" spans="1:18" s="121" customFormat="1" ht="17.45" customHeight="1" x14ac:dyDescent="0.25">
      <c r="A8" s="529" t="s">
        <v>625</v>
      </c>
      <c r="B8" s="530"/>
      <c r="C8" s="287"/>
      <c r="D8" s="283">
        <f t="shared" ref="D8:M8" si="0">SUBTOTAL(9,D9:D12)</f>
        <v>70000000</v>
      </c>
      <c r="E8" s="283">
        <f t="shared" si="0"/>
        <v>0</v>
      </c>
      <c r="F8" s="283">
        <f t="shared" si="0"/>
        <v>70000000</v>
      </c>
      <c r="G8" s="283">
        <f t="shared" si="0"/>
        <v>0</v>
      </c>
      <c r="H8" s="283">
        <f t="shared" si="0"/>
        <v>4</v>
      </c>
      <c r="I8" s="283">
        <f t="shared" si="0"/>
        <v>17600000</v>
      </c>
      <c r="J8" s="283">
        <f t="shared" si="0"/>
        <v>33000000</v>
      </c>
      <c r="K8" s="283">
        <f t="shared" si="0"/>
        <v>50600000</v>
      </c>
      <c r="L8" s="283">
        <f t="shared" si="0"/>
        <v>19399999.999999996</v>
      </c>
      <c r="M8" s="283">
        <f t="shared" si="0"/>
        <v>1340000</v>
      </c>
    </row>
    <row r="9" spans="1:18" s="121" customFormat="1" ht="17.45" customHeight="1" x14ac:dyDescent="0.25">
      <c r="A9" s="208">
        <v>1</v>
      </c>
      <c r="B9" s="208"/>
      <c r="C9" s="162" t="s">
        <v>537</v>
      </c>
      <c r="D9" s="273">
        <f>VLOOKUP(C9,'BẢNG LƯƠNG TỔNG mới'!B10:H14,7,)</f>
        <v>20000000</v>
      </c>
      <c r="E9" s="273"/>
      <c r="F9" s="273">
        <f t="shared" ref="F9:F19" si="1">D9-E9</f>
        <v>20000000</v>
      </c>
      <c r="G9" s="273"/>
      <c r="H9" s="273">
        <f>VLOOKUP(C9,'BẢNG LƯƠNG TỔNG mới'!B10:M14,12,0)</f>
        <v>2</v>
      </c>
      <c r="I9" s="273">
        <f t="shared" ref="I9:I19" si="2">H9*4400000</f>
        <v>8800000</v>
      </c>
      <c r="J9" s="273">
        <v>11000000</v>
      </c>
      <c r="K9" s="273">
        <f t="shared" ref="K9:K19" si="3">J9+I9+G9</f>
        <v>19800000</v>
      </c>
      <c r="L9" s="273">
        <f t="shared" ref="L9:L19" si="4">F9-K9</f>
        <v>200000</v>
      </c>
      <c r="M9" s="204">
        <f>IF($A9="",0,IF(L9&lt;=0,0,IF(L9&lt;=5000000,L9*$M$3,IF(L9&lt;=10000000,$M$2*$M$3+(L9-$M$2)*$N$3,IF(L9&lt;18000000,$M$2*$M$3+$M$2*$N$3+(L9-$N$2)*$O$3,IF(L9&lt;=32000000,$M$2*$M$3+$M$2*$N$3+$O$2*$O$3+(L9-$P$2)*$P$3))))))</f>
        <v>10000</v>
      </c>
    </row>
    <row r="10" spans="1:18" s="121" customFormat="1" ht="17.45" customHeight="1" x14ac:dyDescent="0.25">
      <c r="A10" s="208">
        <v>2</v>
      </c>
      <c r="B10" s="208"/>
      <c r="C10" s="162" t="s">
        <v>539</v>
      </c>
      <c r="D10" s="273">
        <f>VLOOKUP(C10,'BẢNG LƯƠNG TỔNG mới'!B11:H15,7,)</f>
        <v>20000000</v>
      </c>
      <c r="E10" s="273"/>
      <c r="F10" s="273">
        <f t="shared" si="1"/>
        <v>20000000</v>
      </c>
      <c r="G10" s="273"/>
      <c r="H10" s="273">
        <f>VLOOKUP(C10,'BẢNG LƯƠNG TỔNG mới'!B11:M15,12,0)</f>
        <v>2</v>
      </c>
      <c r="I10" s="273">
        <f t="shared" si="2"/>
        <v>8800000</v>
      </c>
      <c r="J10" s="273"/>
      <c r="K10" s="273">
        <f t="shared" si="3"/>
        <v>8800000</v>
      </c>
      <c r="L10" s="273">
        <f t="shared" si="4"/>
        <v>11200000</v>
      </c>
      <c r="M10" s="204">
        <f>IF($A10="",0,IF(L10&lt;=0,0,IF(L10&lt;=5000000,L10*$M$3,IF(L10&lt;=10000000,$M$2*$M$3+(L10-$M$2)*$N$3,IF(L10&lt;18000000,$M$2*$M$3+$M$2*$N$3+(L10-$N$2)*$O$3,IF(L10&lt;=32000000,$M$2*$M$3+$M$2*$N$3+$O$2*$O$3+(L10-$P$2)*$P$3))))))</f>
        <v>930000</v>
      </c>
    </row>
    <row r="11" spans="1:18" s="121" customFormat="1" ht="17.45" customHeight="1" x14ac:dyDescent="0.25">
      <c r="A11" s="208">
        <v>3</v>
      </c>
      <c r="B11" s="208"/>
      <c r="C11" s="162" t="s">
        <v>541</v>
      </c>
      <c r="D11" s="273">
        <f>VLOOKUP(C11,'BẢNG LƯƠNG TỔNG mới'!B12:H16,7,)</f>
        <v>14999999.999999998</v>
      </c>
      <c r="E11" s="273"/>
      <c r="F11" s="273">
        <f t="shared" si="1"/>
        <v>14999999.999999998</v>
      </c>
      <c r="G11" s="273"/>
      <c r="H11" s="273">
        <f>VLOOKUP(C11,'BẢNG LƯƠNG TỔNG mới'!B12:M16,12,0)</f>
        <v>0</v>
      </c>
      <c r="I11" s="273">
        <f t="shared" si="2"/>
        <v>0</v>
      </c>
      <c r="J11" s="273">
        <v>11000000</v>
      </c>
      <c r="K11" s="273">
        <f t="shared" si="3"/>
        <v>11000000</v>
      </c>
      <c r="L11" s="273">
        <f t="shared" si="4"/>
        <v>3999999.9999999981</v>
      </c>
      <c r="M11" s="204">
        <f>IF($A11="",0,IF(L11&lt;=0,0,IF(L11&lt;=5000000,L11*$M$3,IF(L11&lt;=10000000,$M$2*$M$3+(L11-$M$2)*$N$3,IF(L11&lt;18000000,$M$2*$M$3+$M$2*$N$3+(L11-$N$2)*$O$3,IF(L11&lt;=32000000,$M$2*$M$3+$M$2*$N$3+$O$2*$O$3+(L11-$P$2)*$P$3))))))</f>
        <v>199999.99999999991</v>
      </c>
    </row>
    <row r="12" spans="1:18" s="121" customFormat="1" ht="17.45" customHeight="1" x14ac:dyDescent="0.25">
      <c r="A12" s="208">
        <v>4</v>
      </c>
      <c r="B12" s="208"/>
      <c r="C12" s="162" t="s">
        <v>543</v>
      </c>
      <c r="D12" s="273">
        <f>VLOOKUP(C12,'BẢNG LƯƠNG TỔNG mới'!B13:H17,7,)</f>
        <v>14999999.999999998</v>
      </c>
      <c r="E12" s="273"/>
      <c r="F12" s="273">
        <f t="shared" si="1"/>
        <v>14999999.999999998</v>
      </c>
      <c r="G12" s="273"/>
      <c r="H12" s="273">
        <f>VLOOKUP(C12,'BẢNG LƯƠNG TỔNG mới'!B13:M17,12,0)</f>
        <v>0</v>
      </c>
      <c r="I12" s="273">
        <f t="shared" si="2"/>
        <v>0</v>
      </c>
      <c r="J12" s="273">
        <v>11000000</v>
      </c>
      <c r="K12" s="273">
        <f t="shared" si="3"/>
        <v>11000000</v>
      </c>
      <c r="L12" s="273">
        <f t="shared" si="4"/>
        <v>3999999.9999999981</v>
      </c>
      <c r="M12" s="204">
        <f>IF($A12="",0,IF(L12&lt;=0,0,IF(L12&lt;=5000000,L12*$M$3,IF(L12&lt;=10000000,$M$2*$M$3+(L12-$M$2)*$N$3,IF(L12&lt;18000000,$M$2*$M$3+$M$2*$N$3+(L12-$N$2)*$O$3,IF(L12&lt;=32000000,$M$2*$M$3+$M$2*$N$3+$O$2*$O$3+(L12-$P$2)*$P$3))))))</f>
        <v>199999.99999999991</v>
      </c>
    </row>
    <row r="13" spans="1:18" s="121" customFormat="1" ht="17.45" customHeight="1" x14ac:dyDescent="0.25">
      <c r="A13" s="527" t="s">
        <v>626</v>
      </c>
      <c r="B13" s="528"/>
      <c r="C13" s="286"/>
      <c r="D13" s="283">
        <f t="shared" ref="D13:M13" si="5">SUBTOTAL(9,D14:D14)</f>
        <v>13000000</v>
      </c>
      <c r="E13" s="283">
        <f t="shared" si="5"/>
        <v>0</v>
      </c>
      <c r="F13" s="283">
        <f t="shared" si="5"/>
        <v>13000000</v>
      </c>
      <c r="G13" s="283">
        <f t="shared" si="5"/>
        <v>0</v>
      </c>
      <c r="H13" s="283">
        <f t="shared" si="5"/>
        <v>0</v>
      </c>
      <c r="I13" s="283">
        <f t="shared" si="5"/>
        <v>0</v>
      </c>
      <c r="J13" s="283">
        <f t="shared" si="5"/>
        <v>11000000</v>
      </c>
      <c r="K13" s="283">
        <f t="shared" si="5"/>
        <v>11000000</v>
      </c>
      <c r="L13" s="283">
        <f t="shared" si="5"/>
        <v>2000000</v>
      </c>
      <c r="M13" s="283">
        <f t="shared" si="5"/>
        <v>100000</v>
      </c>
    </row>
    <row r="14" spans="1:18" s="121" customFormat="1" ht="17.45" customHeight="1" x14ac:dyDescent="0.25">
      <c r="A14" s="208">
        <v>1</v>
      </c>
      <c r="B14" s="244" t="s">
        <v>561</v>
      </c>
      <c r="C14" s="245" t="s">
        <v>562</v>
      </c>
      <c r="D14" s="273">
        <f>VLOOKUP(C14,'VĂN PHÒNG'!C20:U28,19,0)</f>
        <v>13000000</v>
      </c>
      <c r="E14" s="273">
        <f>'VĂN PHÒNG'!S20/2</f>
        <v>0</v>
      </c>
      <c r="F14" s="273">
        <f t="shared" si="1"/>
        <v>13000000</v>
      </c>
      <c r="G14" s="273">
        <f>VLOOKUP(C14,'VĂN PHÒNG'!C20:V28,20,0)</f>
        <v>0</v>
      </c>
      <c r="H14" s="273">
        <f>VLOOKUP(C14,'VĂN PHÒNG'!C20:X28,22,0)</f>
        <v>0</v>
      </c>
      <c r="I14" s="273">
        <f t="shared" si="2"/>
        <v>0</v>
      </c>
      <c r="J14" s="273">
        <v>11000000</v>
      </c>
      <c r="K14" s="273">
        <f t="shared" si="3"/>
        <v>11000000</v>
      </c>
      <c r="L14" s="273">
        <f t="shared" si="4"/>
        <v>2000000</v>
      </c>
      <c r="M14" s="204">
        <f>IF($A14="",0,IF(L14&lt;=0,0,IF(L14&lt;=5000000,L14*$M$3,IF(L14&lt;=10000000,$M$2*$M$3+(L14-$M$2)*$N$3,IF(L14&lt;18000000,$M$2*$M$3+$M$2*$N$3+(L14-$N$2)*$O$3,IF(L14&lt;=32000000,$M$2*$M$3+$M$2*$N$3+$O$2*$O$3+(L14-$P$2)*$P$3))))))</f>
        <v>100000</v>
      </c>
    </row>
    <row r="15" spans="1:18" ht="15.75" x14ac:dyDescent="0.25">
      <c r="A15" s="290" t="s">
        <v>518</v>
      </c>
      <c r="B15" s="290"/>
      <c r="C15" s="290"/>
      <c r="D15" s="282">
        <f t="shared" ref="D15:M15" si="6">SUBTOTAL(9,D16:D17)</f>
        <v>26353004.807692308</v>
      </c>
      <c r="E15" s="282">
        <f t="shared" si="6"/>
        <v>3414062.5</v>
      </c>
      <c r="F15" s="282">
        <f t="shared" si="6"/>
        <v>22938942.307692308</v>
      </c>
      <c r="G15" s="282">
        <f t="shared" si="6"/>
        <v>0</v>
      </c>
      <c r="H15" s="282">
        <f t="shared" si="6"/>
        <v>0</v>
      </c>
      <c r="I15" s="282">
        <f t="shared" si="6"/>
        <v>0</v>
      </c>
      <c r="J15" s="282">
        <f t="shared" si="6"/>
        <v>22000000</v>
      </c>
      <c r="K15" s="282">
        <f t="shared" si="6"/>
        <v>22000000</v>
      </c>
      <c r="L15" s="282">
        <f t="shared" si="6"/>
        <v>938942.30769230798</v>
      </c>
      <c r="M15" s="282">
        <f t="shared" si="6"/>
        <v>46947.115384615405</v>
      </c>
    </row>
    <row r="16" spans="1:18" ht="15.75" x14ac:dyDescent="0.25">
      <c r="A16" s="199">
        <v>1</v>
      </c>
      <c r="B16" s="72" t="s">
        <v>90</v>
      </c>
      <c r="C16" s="73" t="s">
        <v>91</v>
      </c>
      <c r="D16" s="132">
        <f>'SẢN XUẤTmới'!AH40</f>
        <v>13425432.692307692</v>
      </c>
      <c r="E16" s="132">
        <f>'SẢN XUẤTmới'!F40/26/8*('SẢN XUẤTmới'!N40*0.5+'SẢN XUẤTmới'!O40*0.8)+'SẢN XUẤTmới'!Z40/2</f>
        <v>1524951.923076923</v>
      </c>
      <c r="F16" s="273">
        <f t="shared" si="1"/>
        <v>11900480.769230768</v>
      </c>
      <c r="G16" s="132"/>
      <c r="H16" s="132"/>
      <c r="I16" s="273">
        <f t="shared" si="2"/>
        <v>0</v>
      </c>
      <c r="J16" s="273">
        <v>11000000</v>
      </c>
      <c r="K16" s="273">
        <f t="shared" si="3"/>
        <v>11000000</v>
      </c>
      <c r="L16" s="273">
        <f t="shared" si="4"/>
        <v>900480.76923076808</v>
      </c>
      <c r="M16" s="204">
        <f t="shared" ref="M16:M17" si="7">IF($A16="",0,IF(L16&lt;=0,0,IF(L16&lt;=5000000,L16*$M$3,IF(L16&lt;=10000000,$M$2*$M$3+(L16-$M$2)*$N$3,IF(L16&lt;18000000,$M$2*$M$3+$M$2*$N$3+(L16-$N$2)*$O$3,IF(L16&lt;=32000000,$M$2*$M$3+$M$2*$N$3+$O$2*$O$3+(L16-$P$2)*$P$3))))))</f>
        <v>45024.03846153841</v>
      </c>
    </row>
    <row r="17" spans="1:13" ht="15.75" x14ac:dyDescent="0.25">
      <c r="A17" s="199">
        <v>2</v>
      </c>
      <c r="B17" s="72" t="s">
        <v>98</v>
      </c>
      <c r="C17" s="73" t="s">
        <v>99</v>
      </c>
      <c r="D17" s="132">
        <f>'SẢN XUẤTmới'!AH44</f>
        <v>12927572.115384616</v>
      </c>
      <c r="E17" s="132">
        <f>'SẢN XUẤTmới'!F44/26/8*('SẢN XUẤTmới'!N44*0.5+'SẢN XUẤTmới'!O44*0.8)+'SẢN XUẤTmới'!Z44/2</f>
        <v>1889110.5769230768</v>
      </c>
      <c r="F17" s="273">
        <f t="shared" si="1"/>
        <v>11038461.53846154</v>
      </c>
      <c r="G17" s="132"/>
      <c r="H17" s="132"/>
      <c r="I17" s="273">
        <f t="shared" si="2"/>
        <v>0</v>
      </c>
      <c r="J17" s="273">
        <v>11000000</v>
      </c>
      <c r="K17" s="273">
        <f t="shared" si="3"/>
        <v>11000000</v>
      </c>
      <c r="L17" s="273">
        <f t="shared" si="4"/>
        <v>38461.538461539894</v>
      </c>
      <c r="M17" s="204">
        <f t="shared" si="7"/>
        <v>1923.0769230769947</v>
      </c>
    </row>
    <row r="18" spans="1:13" ht="15" customHeight="1" x14ac:dyDescent="0.25">
      <c r="A18" s="291" t="s">
        <v>519</v>
      </c>
      <c r="B18" s="291"/>
      <c r="C18" s="291"/>
      <c r="D18" s="282">
        <f t="shared" ref="D18:M18" si="8">SUBTOTAL(9,D19:D19)</f>
        <v>14044314.903846154</v>
      </c>
      <c r="E18" s="282">
        <f t="shared" si="8"/>
        <v>2196117.7884615385</v>
      </c>
      <c r="F18" s="282">
        <f t="shared" si="8"/>
        <v>11848197.115384616</v>
      </c>
      <c r="G18" s="282">
        <f t="shared" si="8"/>
        <v>0</v>
      </c>
      <c r="H18" s="282">
        <f t="shared" si="8"/>
        <v>0</v>
      </c>
      <c r="I18" s="282">
        <f t="shared" si="8"/>
        <v>0</v>
      </c>
      <c r="J18" s="282">
        <f t="shared" si="8"/>
        <v>11000000</v>
      </c>
      <c r="K18" s="282">
        <f t="shared" si="8"/>
        <v>11000000</v>
      </c>
      <c r="L18" s="282">
        <f t="shared" si="8"/>
        <v>848197.11538461596</v>
      </c>
      <c r="M18" s="282">
        <f t="shared" si="8"/>
        <v>42409.855769230802</v>
      </c>
    </row>
    <row r="19" spans="1:13" ht="15.75" x14ac:dyDescent="0.25">
      <c r="A19" s="212">
        <v>1</v>
      </c>
      <c r="B19" s="72" t="s">
        <v>346</v>
      </c>
      <c r="C19" s="73" t="s">
        <v>347</v>
      </c>
      <c r="D19" s="132">
        <f>'SẢN XUẤTmới'!AH46</f>
        <v>14044314.903846154</v>
      </c>
      <c r="E19" s="132">
        <f>'SẢN XUẤTmới'!F46/26/8*('SẢN XUẤTmới'!N46*0.5+'SẢN XUẤTmới'!O46*0.8)+'SẢN XUẤTmới'!Z46/2</f>
        <v>2196117.7884615385</v>
      </c>
      <c r="F19" s="273">
        <f t="shared" si="1"/>
        <v>11848197.115384616</v>
      </c>
      <c r="G19" s="132"/>
      <c r="H19" s="132"/>
      <c r="I19" s="273">
        <f t="shared" si="2"/>
        <v>0</v>
      </c>
      <c r="J19" s="273">
        <v>11000000</v>
      </c>
      <c r="K19" s="273">
        <f t="shared" si="3"/>
        <v>11000000</v>
      </c>
      <c r="L19" s="273">
        <f t="shared" si="4"/>
        <v>848197.11538461596</v>
      </c>
      <c r="M19" s="204">
        <f t="shared" ref="M19" si="9">IF($A19="",0,IF(L19&lt;=0,0,IF(L19&lt;=5000000,L19*$M$3,IF(L19&lt;=10000000,$M$2*$M$3+(L19-$M$2)*$N$3,IF(L19&lt;18000000,$M$2*$M$3+$M$2*$N$3+(L19-$N$2)*$O$3,IF(L19&lt;=32000000,$M$2*$M$3+$M$2*$N$3+$O$2*$O$3+(L19-$P$2)*$P$3))))))</f>
        <v>42409.855769230802</v>
      </c>
    </row>
    <row r="20" spans="1:13" s="201" customFormat="1" ht="24" customHeight="1" x14ac:dyDescent="0.25">
      <c r="A20" s="292" t="s">
        <v>627</v>
      </c>
      <c r="B20" s="292"/>
      <c r="C20" s="292"/>
      <c r="D20" s="282">
        <f t="shared" ref="D20:M20" si="10">SUBTOTAL(9,D15:D19)</f>
        <v>40397319.711538464</v>
      </c>
      <c r="E20" s="282">
        <f t="shared" si="10"/>
        <v>5610180.288461538</v>
      </c>
      <c r="F20" s="282">
        <f>SUBTOTAL(9,F15:F19)</f>
        <v>34787139.423076928</v>
      </c>
      <c r="G20" s="282">
        <f t="shared" si="10"/>
        <v>0</v>
      </c>
      <c r="H20" s="282">
        <f t="shared" si="10"/>
        <v>0</v>
      </c>
      <c r="I20" s="282">
        <f t="shared" si="10"/>
        <v>0</v>
      </c>
      <c r="J20" s="282">
        <f t="shared" si="10"/>
        <v>33000000</v>
      </c>
      <c r="K20" s="282">
        <f t="shared" si="10"/>
        <v>33000000</v>
      </c>
      <c r="L20" s="282">
        <f t="shared" si="10"/>
        <v>1787139.4230769239</v>
      </c>
      <c r="M20" s="282">
        <f t="shared" si="10"/>
        <v>89356.971153846214</v>
      </c>
    </row>
    <row r="21" spans="1:13" ht="24" customHeight="1" x14ac:dyDescent="0.25">
      <c r="A21" s="288" t="s">
        <v>628</v>
      </c>
      <c r="B21" s="288"/>
      <c r="C21" s="288"/>
      <c r="D21" s="285">
        <f t="shared" ref="D21:M21" si="11">SUBTOTAL(9,D8:D20)</f>
        <v>123397319.71153848</v>
      </c>
      <c r="E21" s="285">
        <f t="shared" si="11"/>
        <v>5610180.288461538</v>
      </c>
      <c r="F21" s="285">
        <f t="shared" si="11"/>
        <v>117787139.42307693</v>
      </c>
      <c r="G21" s="285">
        <f t="shared" si="11"/>
        <v>0</v>
      </c>
      <c r="H21" s="285">
        <f t="shared" si="11"/>
        <v>4</v>
      </c>
      <c r="I21" s="285">
        <f t="shared" si="11"/>
        <v>17600000</v>
      </c>
      <c r="J21" s="285">
        <f t="shared" si="11"/>
        <v>77000000</v>
      </c>
      <c r="K21" s="285">
        <f t="shared" si="11"/>
        <v>94600000</v>
      </c>
      <c r="L21" s="285">
        <f t="shared" si="11"/>
        <v>23187139.42307692</v>
      </c>
      <c r="M21" s="354">
        <f t="shared" si="11"/>
        <v>1529356.9711538462</v>
      </c>
    </row>
    <row r="22" spans="1:13" x14ac:dyDescent="0.25">
      <c r="D22" s="129"/>
      <c r="E22" s="129"/>
      <c r="F22" s="129"/>
      <c r="G22" s="129"/>
      <c r="H22" s="129"/>
      <c r="I22" s="129"/>
      <c r="J22" s="129"/>
      <c r="K22" s="129"/>
      <c r="L22" s="129"/>
      <c r="M22" s="129"/>
    </row>
    <row r="23" spans="1:13" s="201" customFormat="1" ht="14.25" x14ac:dyDescent="0.25"/>
  </sheetData>
  <autoFilter ref="A7:BU20" xr:uid="{70E9FABD-77E6-4720-AA3A-AE94F2CAADF8}"/>
  <mergeCells count="16">
    <mergeCell ref="A2:C2"/>
    <mergeCell ref="A4:A6"/>
    <mergeCell ref="B4:B6"/>
    <mergeCell ref="C4:C6"/>
    <mergeCell ref="D4:D6"/>
    <mergeCell ref="L4:L5"/>
    <mergeCell ref="M4:M5"/>
    <mergeCell ref="A8:B8"/>
    <mergeCell ref="A13:B13"/>
    <mergeCell ref="F4:F5"/>
    <mergeCell ref="G4:G5"/>
    <mergeCell ref="H4:H5"/>
    <mergeCell ref="I4:I5"/>
    <mergeCell ref="J4:J5"/>
    <mergeCell ref="K4:K5"/>
    <mergeCell ref="E4:E6"/>
  </mergeCells>
  <conditionalFormatting sqref="B16:C17 B19:C19">
    <cfRule type="expression" dxfId="0" priority="6">
      <formula>#REF!&lt;&gt;""</formula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A1CA658-7E1E-4DE5-85BB-93AC8ED6A27F}">
            <xm:f>AND(TODAY()-#REF!&gt;=90,#REF!='\PHỤNG\CHẤM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B16:C17 B19:C19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K29"/>
  <sheetViews>
    <sheetView workbookViewId="0">
      <selection activeCell="I31" sqref="I31"/>
    </sheetView>
  </sheetViews>
  <sheetFormatPr defaultColWidth="9.140625" defaultRowHeight="15" x14ac:dyDescent="0.25"/>
  <cols>
    <col min="1" max="1" width="19" style="127" customWidth="1"/>
    <col min="2" max="2" width="16.42578125" style="127" customWidth="1"/>
    <col min="3" max="3" width="20.85546875" style="127" bestFit="1" customWidth="1"/>
    <col min="4" max="4" width="22.42578125" style="127" bestFit="1" customWidth="1"/>
    <col min="5" max="5" width="29.42578125" style="127" customWidth="1"/>
    <col min="6" max="6" width="20.5703125" style="127" bestFit="1" customWidth="1"/>
    <col min="7" max="7" width="25" style="127" bestFit="1" customWidth="1"/>
    <col min="8" max="8" width="22.7109375" style="127" bestFit="1" customWidth="1"/>
    <col min="9" max="9" width="18.42578125" style="127" bestFit="1" customWidth="1"/>
    <col min="10" max="10" width="27.7109375" style="127" bestFit="1" customWidth="1"/>
    <col min="11" max="11" width="23.85546875" style="127" bestFit="1" customWidth="1"/>
    <col min="12" max="12" width="24.28515625" style="127" bestFit="1" customWidth="1"/>
    <col min="13" max="13" width="23.5703125" style="127" bestFit="1" customWidth="1"/>
    <col min="14" max="14" width="22.5703125" style="127" bestFit="1" customWidth="1"/>
    <col min="15" max="15" width="22.85546875" style="127" bestFit="1" customWidth="1"/>
    <col min="16" max="16" width="24" style="127" bestFit="1" customWidth="1"/>
    <col min="17" max="17" width="24.7109375" style="127" bestFit="1" customWidth="1"/>
    <col min="18" max="18" width="37" style="127" bestFit="1" customWidth="1"/>
    <col min="19" max="19" width="30.140625" style="127" bestFit="1" customWidth="1"/>
    <col min="20" max="20" width="24.5703125" style="127" bestFit="1" customWidth="1"/>
    <col min="21" max="21" width="18.140625" style="127" bestFit="1" customWidth="1"/>
    <col min="22" max="22" width="25.140625" style="127" bestFit="1" customWidth="1"/>
    <col min="23" max="23" width="20.7109375" style="127" bestFit="1" customWidth="1"/>
    <col min="24" max="24" width="21.140625" style="127" bestFit="1" customWidth="1"/>
    <col min="25" max="25" width="17.85546875" style="127" bestFit="1" customWidth="1"/>
    <col min="26" max="26" width="19.42578125" style="127" bestFit="1" customWidth="1"/>
    <col min="27" max="27" width="28.28515625" style="127" bestFit="1" customWidth="1"/>
    <col min="28" max="28" width="20.140625" style="127" bestFit="1" customWidth="1"/>
    <col min="29" max="29" width="21.140625" style="127" bestFit="1" customWidth="1"/>
    <col min="30" max="30" width="23.42578125" style="127" bestFit="1" customWidth="1"/>
    <col min="31" max="31" width="20.140625" style="127" bestFit="1" customWidth="1"/>
    <col min="32" max="32" width="20.85546875" style="127" bestFit="1" customWidth="1"/>
    <col min="33" max="33" width="9.140625" style="127"/>
    <col min="34" max="34" width="16.42578125" style="127" bestFit="1" customWidth="1"/>
    <col min="35" max="35" width="23.85546875" style="127" bestFit="1" customWidth="1"/>
    <col min="36" max="36" width="19.5703125" style="127" bestFit="1" customWidth="1"/>
    <col min="37" max="37" width="23.7109375" style="127" bestFit="1" customWidth="1"/>
    <col min="38" max="38" width="25" style="127" bestFit="1" customWidth="1"/>
    <col min="39" max="39" width="9.140625" style="127"/>
    <col min="40" max="40" width="21.85546875" style="127" bestFit="1" customWidth="1"/>
    <col min="41" max="41" width="20.140625" style="127" bestFit="1" customWidth="1"/>
    <col min="42" max="42" width="27.5703125" style="127" bestFit="1" customWidth="1"/>
    <col min="43" max="43" width="22.85546875" style="127" bestFit="1" customWidth="1"/>
    <col min="44" max="44" width="23.140625" style="127" bestFit="1" customWidth="1"/>
    <col min="45" max="45" width="24" style="127" bestFit="1" customWidth="1"/>
    <col min="46" max="46" width="17.85546875" style="127" bestFit="1" customWidth="1"/>
    <col min="47" max="47" width="20.42578125" style="127" bestFit="1" customWidth="1"/>
    <col min="48" max="48" width="23.85546875" style="127" bestFit="1" customWidth="1"/>
    <col min="49" max="49" width="27.7109375" style="127" bestFit="1" customWidth="1"/>
    <col min="50" max="50" width="22.140625" style="127" bestFit="1" customWidth="1"/>
    <col min="51" max="51" width="16.140625" style="127" bestFit="1" customWidth="1"/>
    <col min="52" max="52" width="24" style="127" bestFit="1" customWidth="1"/>
    <col min="53" max="53" width="29.140625" style="127" bestFit="1" customWidth="1"/>
    <col min="54" max="54" width="16.42578125" style="127" bestFit="1" customWidth="1"/>
    <col min="55" max="55" width="20.5703125" style="127" bestFit="1" customWidth="1"/>
    <col min="56" max="56" width="18.5703125" style="127" bestFit="1" customWidth="1"/>
    <col min="57" max="57" width="15.140625" style="127" bestFit="1" customWidth="1"/>
    <col min="58" max="58" width="24" style="127" bestFit="1" customWidth="1"/>
    <col min="59" max="59" width="16" style="127" bestFit="1" customWidth="1"/>
    <col min="60" max="60" width="25.5703125" style="127" bestFit="1" customWidth="1"/>
    <col min="61" max="61" width="24.42578125" style="127" bestFit="1" customWidth="1"/>
    <col min="62" max="62" width="22.140625" style="127" bestFit="1" customWidth="1"/>
    <col min="63" max="63" width="23.7109375" style="127" bestFit="1" customWidth="1"/>
    <col min="64" max="64" width="23.5703125" style="127" bestFit="1" customWidth="1"/>
    <col min="65" max="65" width="22.140625" style="127" bestFit="1" customWidth="1"/>
    <col min="66" max="66" width="25.140625" style="127" bestFit="1" customWidth="1"/>
    <col min="67" max="67" width="20.7109375" style="127" bestFit="1" customWidth="1"/>
    <col min="68" max="68" width="26.85546875" style="127" bestFit="1" customWidth="1"/>
    <col min="69" max="69" width="21.140625" style="127" bestFit="1" customWidth="1"/>
    <col min="70" max="70" width="21.85546875" style="127" bestFit="1" customWidth="1"/>
    <col min="71" max="71" width="18.85546875" style="127" bestFit="1" customWidth="1"/>
    <col min="72" max="72" width="24.7109375" style="127" bestFit="1" customWidth="1"/>
    <col min="73" max="73" width="18" style="127" bestFit="1" customWidth="1"/>
    <col min="74" max="74" width="20.5703125" style="127" bestFit="1" customWidth="1"/>
    <col min="75" max="75" width="19.7109375" style="127" bestFit="1" customWidth="1"/>
    <col min="76" max="76" width="18.42578125" style="127" bestFit="1" customWidth="1"/>
    <col min="77" max="77" width="22.5703125" style="127" bestFit="1" customWidth="1"/>
    <col min="78" max="78" width="23.42578125" style="127" bestFit="1" customWidth="1"/>
    <col min="79" max="79" width="27.7109375" style="127" bestFit="1" customWidth="1"/>
    <col min="80" max="80" width="26.7109375" style="127" bestFit="1" customWidth="1"/>
    <col min="81" max="81" width="27.140625" style="127" bestFit="1" customWidth="1"/>
    <col min="82" max="82" width="23.85546875" style="127" bestFit="1" customWidth="1"/>
    <col min="83" max="83" width="9.140625" style="127"/>
    <col min="84" max="84" width="25.28515625" style="127" bestFit="1" customWidth="1"/>
    <col min="85" max="85" width="27.5703125" style="127" bestFit="1" customWidth="1"/>
    <col min="86" max="86" width="34.7109375" style="127" bestFit="1" customWidth="1"/>
    <col min="87" max="87" width="28.42578125" style="127" bestFit="1" customWidth="1"/>
    <col min="88" max="88" width="20.5703125" style="127" customWidth="1"/>
    <col min="89" max="89" width="24.28515625" style="127" customWidth="1"/>
    <col min="90" max="16384" width="9.140625" style="127"/>
  </cols>
  <sheetData>
    <row r="1" spans="1:89" s="152" customFormat="1" ht="14.25" x14ac:dyDescent="0.25">
      <c r="A1" s="152" t="s">
        <v>17</v>
      </c>
      <c r="C1" s="152" t="s">
        <v>35</v>
      </c>
      <c r="D1" s="152" t="s">
        <v>37</v>
      </c>
      <c r="E1" s="152" t="s">
        <v>39</v>
      </c>
      <c r="F1" s="152" t="s">
        <v>41</v>
      </c>
      <c r="G1" s="152" t="s">
        <v>43</v>
      </c>
      <c r="H1" s="152" t="s">
        <v>45</v>
      </c>
      <c r="I1" s="152" t="s">
        <v>465</v>
      </c>
      <c r="J1" s="152" t="s">
        <v>49</v>
      </c>
      <c r="K1" s="152" t="s">
        <v>51</v>
      </c>
      <c r="L1" s="152" t="s">
        <v>53</v>
      </c>
      <c r="M1" s="152" t="s">
        <v>55</v>
      </c>
      <c r="N1" s="152" t="s">
        <v>57</v>
      </c>
      <c r="O1" s="152" t="s">
        <v>59</v>
      </c>
      <c r="P1" s="152" t="s">
        <v>61</v>
      </c>
      <c r="Q1" s="152" t="s">
        <v>63</v>
      </c>
      <c r="R1" s="152" t="s">
        <v>506</v>
      </c>
      <c r="S1" s="152" t="s">
        <v>464</v>
      </c>
      <c r="T1" s="152" t="s">
        <v>69</v>
      </c>
      <c r="U1" s="152" t="s">
        <v>71</v>
      </c>
      <c r="V1" s="152" t="s">
        <v>73</v>
      </c>
      <c r="W1" s="152" t="s">
        <v>75</v>
      </c>
      <c r="X1" s="152" t="s">
        <v>77</v>
      </c>
      <c r="Y1" s="152" t="s">
        <v>79</v>
      </c>
      <c r="Z1" s="152" t="s">
        <v>81</v>
      </c>
      <c r="AA1" s="152" t="s">
        <v>83</v>
      </c>
      <c r="AB1" s="152" t="s">
        <v>85</v>
      </c>
      <c r="AC1" s="152" t="s">
        <v>87</v>
      </c>
      <c r="AD1" s="152" t="s">
        <v>89</v>
      </c>
      <c r="AE1" s="152" t="s">
        <v>482</v>
      </c>
      <c r="AF1" s="152" t="s">
        <v>316</v>
      </c>
      <c r="AH1" s="152" t="s">
        <v>91</v>
      </c>
      <c r="AI1" s="152" t="s">
        <v>93</v>
      </c>
      <c r="AJ1" s="152" t="s">
        <v>475</v>
      </c>
      <c r="AK1" s="152" t="s">
        <v>97</v>
      </c>
      <c r="AL1" s="152" t="s">
        <v>99</v>
      </c>
      <c r="AN1" s="152" t="s">
        <v>347</v>
      </c>
      <c r="AO1" s="152" t="s">
        <v>107</v>
      </c>
      <c r="AP1" s="152" t="s">
        <v>109</v>
      </c>
      <c r="AQ1" s="152" t="s">
        <v>111</v>
      </c>
      <c r="AR1" s="152" t="s">
        <v>113</v>
      </c>
      <c r="AS1" s="152" t="s">
        <v>115</v>
      </c>
      <c r="AT1" s="152" t="s">
        <v>117</v>
      </c>
      <c r="AU1" s="152" t="s">
        <v>119</v>
      </c>
      <c r="AV1" s="152" t="s">
        <v>515</v>
      </c>
      <c r="AW1" s="152" t="s">
        <v>123</v>
      </c>
      <c r="AX1" s="152" t="s">
        <v>125</v>
      </c>
      <c r="AY1" s="152" t="s">
        <v>127</v>
      </c>
      <c r="AZ1" s="152" t="s">
        <v>477</v>
      </c>
      <c r="BA1" s="152" t="s">
        <v>129</v>
      </c>
      <c r="BB1" s="152" t="s">
        <v>131</v>
      </c>
      <c r="BC1" s="152" t="s">
        <v>133</v>
      </c>
      <c r="BD1" s="152" t="s">
        <v>135</v>
      </c>
      <c r="BE1" s="152" t="s">
        <v>157</v>
      </c>
      <c r="BF1" s="152" t="s">
        <v>153</v>
      </c>
      <c r="BG1" s="152" t="s">
        <v>155</v>
      </c>
      <c r="BH1" s="152" t="s">
        <v>159</v>
      </c>
      <c r="BI1" s="152" t="s">
        <v>151</v>
      </c>
      <c r="BJ1" s="152" t="s">
        <v>139</v>
      </c>
      <c r="BK1" s="152" t="s">
        <v>141</v>
      </c>
      <c r="BL1" s="152" t="s">
        <v>143</v>
      </c>
      <c r="BM1" s="152" t="s">
        <v>145</v>
      </c>
      <c r="BN1" s="152" t="s">
        <v>147</v>
      </c>
      <c r="BO1" s="152" t="s">
        <v>149</v>
      </c>
      <c r="BP1" s="152" t="s">
        <v>137</v>
      </c>
      <c r="BQ1" s="152" t="s">
        <v>165</v>
      </c>
      <c r="BR1" s="152" t="s">
        <v>167</v>
      </c>
      <c r="BS1" s="152" t="s">
        <v>161</v>
      </c>
      <c r="BT1" s="152" t="s">
        <v>163</v>
      </c>
      <c r="BU1" s="152" t="s">
        <v>490</v>
      </c>
      <c r="BV1" s="152" t="s">
        <v>492</v>
      </c>
      <c r="BW1" s="152" t="s">
        <v>494</v>
      </c>
      <c r="BX1" s="152" t="s">
        <v>497</v>
      </c>
      <c r="BY1" s="152" t="s">
        <v>498</v>
      </c>
      <c r="BZ1" s="152" t="s">
        <v>470</v>
      </c>
      <c r="CA1" s="152" t="s">
        <v>468</v>
      </c>
      <c r="CB1" s="152" t="s">
        <v>103</v>
      </c>
      <c r="CC1" s="152" t="s">
        <v>481</v>
      </c>
      <c r="CD1" s="152" t="s">
        <v>483</v>
      </c>
      <c r="CF1" s="152" t="s">
        <v>467</v>
      </c>
      <c r="CG1" s="152" t="s">
        <v>171</v>
      </c>
      <c r="CH1" s="152" t="s">
        <v>169</v>
      </c>
      <c r="CI1" s="152" t="s">
        <v>31</v>
      </c>
      <c r="CJ1" s="152" t="s">
        <v>33</v>
      </c>
      <c r="CK1" s="152" t="s">
        <v>501</v>
      </c>
    </row>
    <row r="2" spans="1:89" x14ac:dyDescent="0.25">
      <c r="A2" s="539" t="s">
        <v>524</v>
      </c>
      <c r="B2" s="540"/>
      <c r="C2" s="127">
        <v>26</v>
      </c>
      <c r="D2" s="127">
        <v>26</v>
      </c>
      <c r="E2" s="127">
        <v>26</v>
      </c>
      <c r="F2" s="127">
        <v>26</v>
      </c>
      <c r="G2" s="127">
        <v>26</v>
      </c>
      <c r="H2" s="127">
        <v>26</v>
      </c>
      <c r="I2" s="127">
        <v>26</v>
      </c>
      <c r="J2" s="127">
        <v>26</v>
      </c>
      <c r="K2" s="127">
        <v>26</v>
      </c>
      <c r="L2" s="127">
        <v>26</v>
      </c>
      <c r="M2" s="127">
        <v>26</v>
      </c>
      <c r="N2" s="127">
        <v>26</v>
      </c>
      <c r="O2" s="127">
        <v>26</v>
      </c>
      <c r="P2" s="127">
        <v>26</v>
      </c>
      <c r="Q2" s="127">
        <v>26</v>
      </c>
      <c r="R2" s="127">
        <v>26</v>
      </c>
      <c r="S2" s="127">
        <v>26</v>
      </c>
      <c r="T2" s="127">
        <v>26</v>
      </c>
      <c r="U2" s="127">
        <v>26</v>
      </c>
      <c r="V2" s="127">
        <v>26</v>
      </c>
      <c r="W2" s="127">
        <v>26</v>
      </c>
      <c r="X2" s="127">
        <v>26</v>
      </c>
      <c r="Y2" s="127">
        <v>26</v>
      </c>
      <c r="Z2" s="127">
        <v>26</v>
      </c>
      <c r="AA2" s="127">
        <v>26</v>
      </c>
      <c r="AB2" s="127">
        <v>26</v>
      </c>
      <c r="AC2" s="127">
        <v>26</v>
      </c>
      <c r="AD2" s="127">
        <v>26</v>
      </c>
      <c r="AE2" s="127">
        <v>26</v>
      </c>
      <c r="AF2" s="127">
        <v>26</v>
      </c>
      <c r="AH2" s="127">
        <v>26</v>
      </c>
      <c r="AI2" s="127">
        <v>26</v>
      </c>
      <c r="AJ2" s="127">
        <v>26</v>
      </c>
      <c r="AK2" s="127">
        <v>26</v>
      </c>
      <c r="AL2" s="127">
        <v>26</v>
      </c>
      <c r="AN2" s="127">
        <v>26</v>
      </c>
      <c r="AO2" s="127">
        <v>26</v>
      </c>
      <c r="AP2" s="127">
        <v>26</v>
      </c>
      <c r="AQ2" s="127">
        <v>26</v>
      </c>
      <c r="AR2" s="127">
        <v>26</v>
      </c>
      <c r="AS2" s="127">
        <v>26</v>
      </c>
      <c r="AT2" s="127">
        <v>26</v>
      </c>
      <c r="AU2" s="127">
        <v>26</v>
      </c>
      <c r="AV2" s="127">
        <v>26</v>
      </c>
      <c r="AW2" s="127">
        <v>26</v>
      </c>
      <c r="AX2" s="127">
        <v>26</v>
      </c>
      <c r="AY2" s="127">
        <v>26</v>
      </c>
      <c r="AZ2" s="127">
        <v>26</v>
      </c>
      <c r="BA2" s="127">
        <v>26</v>
      </c>
      <c r="BB2" s="127">
        <v>26</v>
      </c>
      <c r="BC2" s="127">
        <v>26</v>
      </c>
      <c r="BD2" s="127">
        <v>26</v>
      </c>
      <c r="BE2" s="127">
        <v>26</v>
      </c>
      <c r="BF2" s="127">
        <v>26</v>
      </c>
      <c r="BG2" s="127">
        <v>26</v>
      </c>
      <c r="BH2" s="127">
        <v>26</v>
      </c>
      <c r="BI2" s="127">
        <v>26</v>
      </c>
      <c r="BJ2" s="127">
        <v>26</v>
      </c>
      <c r="BK2" s="127">
        <v>26</v>
      </c>
      <c r="BL2" s="127">
        <v>26</v>
      </c>
      <c r="BM2" s="127">
        <v>26</v>
      </c>
      <c r="BN2" s="127">
        <v>26</v>
      </c>
      <c r="BO2" s="127">
        <v>26</v>
      </c>
      <c r="BP2" s="127">
        <v>26</v>
      </c>
      <c r="BQ2" s="127">
        <v>26</v>
      </c>
      <c r="BR2" s="127">
        <v>26</v>
      </c>
      <c r="BS2" s="127">
        <v>26</v>
      </c>
      <c r="BT2" s="127">
        <v>26</v>
      </c>
      <c r="BU2" s="127">
        <v>26</v>
      </c>
      <c r="BV2" s="127">
        <v>26</v>
      </c>
      <c r="BW2" s="127">
        <v>26</v>
      </c>
      <c r="BX2" s="127">
        <v>26</v>
      </c>
      <c r="BY2" s="127">
        <v>26</v>
      </c>
      <c r="BZ2" s="127">
        <v>26</v>
      </c>
      <c r="CA2" s="127">
        <v>26</v>
      </c>
      <c r="CB2" s="127">
        <v>26</v>
      </c>
      <c r="CC2" s="127">
        <v>26</v>
      </c>
      <c r="CD2" s="127">
        <v>26</v>
      </c>
      <c r="CF2" s="127">
        <v>26</v>
      </c>
      <c r="CG2" s="127">
        <v>26</v>
      </c>
      <c r="CH2" s="127">
        <v>26</v>
      </c>
      <c r="CI2" s="127">
        <v>26</v>
      </c>
      <c r="CJ2" s="127">
        <v>26</v>
      </c>
      <c r="CK2" s="127">
        <v>26</v>
      </c>
    </row>
    <row r="3" spans="1:89" x14ac:dyDescent="0.25">
      <c r="A3" s="539" t="s">
        <v>507</v>
      </c>
      <c r="B3" s="540"/>
      <c r="C3" s="127">
        <v>4450000</v>
      </c>
      <c r="D3" s="127">
        <v>4450000</v>
      </c>
      <c r="E3" s="127">
        <v>4450000</v>
      </c>
      <c r="F3" s="127">
        <v>4450000</v>
      </c>
      <c r="G3" s="127">
        <v>4450000</v>
      </c>
      <c r="H3" s="127">
        <v>4450000</v>
      </c>
      <c r="I3" s="127">
        <v>4450000</v>
      </c>
      <c r="J3" s="127">
        <v>4450000</v>
      </c>
      <c r="K3" s="127">
        <v>4450000</v>
      </c>
      <c r="L3" s="127">
        <v>4450000</v>
      </c>
      <c r="M3" s="127">
        <v>4450000</v>
      </c>
      <c r="N3" s="127">
        <v>4450000</v>
      </c>
      <c r="O3" s="127">
        <v>4450000</v>
      </c>
      <c r="P3" s="127">
        <v>4450000</v>
      </c>
      <c r="Q3" s="127">
        <v>4450000</v>
      </c>
      <c r="R3" s="127">
        <v>4450000</v>
      </c>
      <c r="S3" s="127">
        <v>4450000</v>
      </c>
      <c r="T3" s="127">
        <v>4450000</v>
      </c>
      <c r="U3" s="127">
        <v>4450000</v>
      </c>
      <c r="V3" s="127">
        <v>4450000</v>
      </c>
      <c r="W3" s="127">
        <v>4450000</v>
      </c>
      <c r="X3" s="127">
        <v>4450000</v>
      </c>
      <c r="Y3" s="127">
        <v>4450000</v>
      </c>
      <c r="Z3" s="127">
        <v>4450000</v>
      </c>
      <c r="AA3" s="127">
        <v>4450000</v>
      </c>
      <c r="AB3" s="127">
        <v>4450000</v>
      </c>
      <c r="AC3" s="127">
        <v>4450000</v>
      </c>
      <c r="AD3" s="127">
        <v>4450000</v>
      </c>
      <c r="AE3" s="127">
        <v>4450000</v>
      </c>
      <c r="AF3" s="127">
        <v>4450000</v>
      </c>
      <c r="AH3" s="127">
        <v>4850000</v>
      </c>
      <c r="AI3" s="127">
        <v>4450000</v>
      </c>
      <c r="AJ3" s="127">
        <v>4450000</v>
      </c>
      <c r="AK3" s="127">
        <v>4450000</v>
      </c>
      <c r="AL3" s="127">
        <v>4450000</v>
      </c>
      <c r="AN3" s="127">
        <v>4450000</v>
      </c>
      <c r="AO3" s="127">
        <v>4450000</v>
      </c>
      <c r="AP3" s="127">
        <v>4450000</v>
      </c>
      <c r="AQ3" s="127">
        <v>4450000</v>
      </c>
      <c r="AR3" s="127">
        <v>4450000</v>
      </c>
      <c r="AS3" s="127">
        <v>4450000</v>
      </c>
      <c r="AT3" s="127">
        <v>4450000</v>
      </c>
      <c r="AU3" s="127">
        <v>4450000</v>
      </c>
      <c r="AV3" s="127">
        <v>4450000</v>
      </c>
      <c r="AW3" s="127">
        <v>4450000</v>
      </c>
      <c r="AX3" s="127">
        <v>4450000</v>
      </c>
      <c r="AY3" s="127">
        <v>4450000</v>
      </c>
      <c r="AZ3" s="127">
        <v>4450000</v>
      </c>
      <c r="BA3" s="127">
        <v>4450000</v>
      </c>
      <c r="BB3" s="127">
        <v>4450000</v>
      </c>
      <c r="BC3" s="127">
        <v>4450000</v>
      </c>
      <c r="BD3" s="127">
        <v>4450000</v>
      </c>
      <c r="BE3" s="127">
        <v>4450000</v>
      </c>
      <c r="BF3" s="127">
        <v>4450000</v>
      </c>
      <c r="BG3" s="127">
        <v>4450000</v>
      </c>
      <c r="BH3" s="127">
        <v>4450000</v>
      </c>
      <c r="BI3" s="127">
        <v>4450000</v>
      </c>
      <c r="BJ3" s="127">
        <v>4450000</v>
      </c>
      <c r="BK3" s="127">
        <v>4450000</v>
      </c>
      <c r="BL3" s="127">
        <v>4450000</v>
      </c>
      <c r="BM3" s="127">
        <v>4450000</v>
      </c>
      <c r="BN3" s="127">
        <v>4450000</v>
      </c>
      <c r="BO3" s="127">
        <v>4450000</v>
      </c>
      <c r="BP3" s="127">
        <v>4450000</v>
      </c>
      <c r="BQ3" s="127">
        <v>4450000</v>
      </c>
      <c r="BR3" s="127">
        <v>4450000</v>
      </c>
      <c r="BS3" s="127">
        <v>4450000</v>
      </c>
      <c r="BT3" s="127">
        <v>4450000</v>
      </c>
      <c r="BU3" s="127">
        <v>4450000</v>
      </c>
      <c r="BV3" s="127">
        <v>4450000</v>
      </c>
      <c r="BW3" s="127">
        <v>4450000</v>
      </c>
      <c r="BX3" s="127">
        <v>4450000</v>
      </c>
      <c r="BY3" s="127">
        <v>4450000</v>
      </c>
      <c r="BZ3" s="127">
        <v>4450000</v>
      </c>
      <c r="CA3" s="127">
        <v>4450000</v>
      </c>
      <c r="CB3" s="127">
        <v>4450000</v>
      </c>
      <c r="CC3" s="127">
        <v>4450000</v>
      </c>
      <c r="CD3" s="127">
        <v>4450000</v>
      </c>
      <c r="CF3" s="127">
        <v>4450000</v>
      </c>
      <c r="CG3" s="127">
        <v>4450000</v>
      </c>
      <c r="CH3" s="127">
        <v>4450000</v>
      </c>
      <c r="CI3" s="127">
        <v>4150000</v>
      </c>
      <c r="CJ3" s="127">
        <v>4150000</v>
      </c>
      <c r="CK3" s="127">
        <v>4150000</v>
      </c>
    </row>
    <row r="4" spans="1:89" x14ac:dyDescent="0.25">
      <c r="A4" s="541" t="s">
        <v>508</v>
      </c>
      <c r="B4" s="127" t="s">
        <v>1</v>
      </c>
      <c r="C4" s="127">
        <v>18</v>
      </c>
      <c r="D4" s="127">
        <v>15.5</v>
      </c>
      <c r="E4" s="127">
        <v>16.5</v>
      </c>
      <c r="F4" s="127">
        <v>26</v>
      </c>
      <c r="G4" s="127">
        <v>26</v>
      </c>
      <c r="H4" s="127">
        <v>25.5</v>
      </c>
      <c r="I4" s="127">
        <v>25.5</v>
      </c>
      <c r="J4" s="127">
        <v>24</v>
      </c>
      <c r="K4" s="127">
        <v>26</v>
      </c>
      <c r="L4" s="127">
        <v>26</v>
      </c>
      <c r="M4" s="127">
        <v>26</v>
      </c>
      <c r="N4" s="127">
        <v>24</v>
      </c>
      <c r="O4" s="127">
        <v>25</v>
      </c>
      <c r="P4" s="127">
        <v>20</v>
      </c>
      <c r="Q4" s="127">
        <v>26</v>
      </c>
      <c r="R4" s="127">
        <v>21.5</v>
      </c>
      <c r="S4" s="127">
        <v>23.5</v>
      </c>
      <c r="T4" s="127">
        <v>24</v>
      </c>
      <c r="U4" s="127">
        <v>23</v>
      </c>
      <c r="V4" s="127">
        <v>24</v>
      </c>
      <c r="W4" s="127">
        <v>14</v>
      </c>
      <c r="X4" s="127">
        <v>14</v>
      </c>
      <c r="Y4" s="127">
        <v>12</v>
      </c>
      <c r="Z4" s="127">
        <v>12</v>
      </c>
      <c r="AA4" s="127">
        <v>12</v>
      </c>
      <c r="AB4" s="127">
        <v>9</v>
      </c>
      <c r="AC4" s="127">
        <v>8</v>
      </c>
      <c r="AD4" s="127">
        <v>8</v>
      </c>
      <c r="AE4" s="127">
        <v>5</v>
      </c>
      <c r="AF4" s="127">
        <v>11</v>
      </c>
      <c r="AH4" s="127">
        <v>25</v>
      </c>
      <c r="AI4" s="127">
        <v>24</v>
      </c>
      <c r="AJ4" s="127">
        <v>25</v>
      </c>
      <c r="AK4" s="127">
        <v>25</v>
      </c>
      <c r="AL4" s="127">
        <v>26</v>
      </c>
      <c r="AN4" s="127">
        <v>26</v>
      </c>
      <c r="AO4" s="127">
        <v>24.5</v>
      </c>
      <c r="AP4" s="127">
        <v>26</v>
      </c>
      <c r="AQ4" s="127">
        <v>26</v>
      </c>
      <c r="AR4" s="127">
        <v>25</v>
      </c>
      <c r="AS4" s="127">
        <v>26</v>
      </c>
      <c r="AT4" s="127">
        <v>25</v>
      </c>
      <c r="AU4" s="127">
        <v>26</v>
      </c>
      <c r="AV4" s="127">
        <v>26</v>
      </c>
      <c r="AW4" s="127">
        <v>25</v>
      </c>
      <c r="AX4" s="127">
        <v>25</v>
      </c>
      <c r="AY4" s="127">
        <v>25</v>
      </c>
      <c r="AZ4" s="127">
        <v>17</v>
      </c>
      <c r="BA4" s="127">
        <v>22</v>
      </c>
      <c r="BB4" s="127">
        <v>23</v>
      </c>
      <c r="BC4" s="127">
        <v>24</v>
      </c>
      <c r="BD4" s="127">
        <v>22</v>
      </c>
      <c r="BE4" s="127">
        <v>21</v>
      </c>
      <c r="BF4" s="127">
        <v>20</v>
      </c>
      <c r="BG4" s="127">
        <v>21</v>
      </c>
      <c r="BH4" s="127">
        <v>17</v>
      </c>
      <c r="BI4" s="127">
        <v>10</v>
      </c>
      <c r="BJ4" s="127">
        <v>8</v>
      </c>
      <c r="BK4" s="127">
        <v>20</v>
      </c>
      <c r="BL4" s="127">
        <v>20</v>
      </c>
      <c r="BM4" s="127">
        <v>19</v>
      </c>
      <c r="BN4" s="127">
        <v>9</v>
      </c>
      <c r="BO4" s="127">
        <v>10</v>
      </c>
      <c r="BP4" s="127">
        <v>20</v>
      </c>
      <c r="BQ4" s="127">
        <v>9</v>
      </c>
      <c r="BR4" s="127">
        <v>9</v>
      </c>
      <c r="BS4" s="127">
        <v>8</v>
      </c>
      <c r="BT4" s="127">
        <v>7</v>
      </c>
      <c r="BU4" s="127">
        <v>10</v>
      </c>
      <c r="BV4" s="127">
        <v>5</v>
      </c>
      <c r="BW4" s="127">
        <v>3</v>
      </c>
      <c r="BX4" s="127">
        <v>3</v>
      </c>
      <c r="BY4" s="127">
        <v>3</v>
      </c>
      <c r="BZ4" s="127">
        <v>5</v>
      </c>
      <c r="CA4" s="127">
        <v>5</v>
      </c>
      <c r="CD4" s="127">
        <v>5</v>
      </c>
      <c r="CF4" s="127">
        <v>26</v>
      </c>
      <c r="CG4" s="127">
        <v>26</v>
      </c>
      <c r="CH4" s="127">
        <v>26</v>
      </c>
      <c r="CI4" s="127">
        <v>26</v>
      </c>
      <c r="CJ4" s="127">
        <v>25</v>
      </c>
      <c r="CK4" s="127">
        <v>16.5</v>
      </c>
    </row>
    <row r="5" spans="1:89" x14ac:dyDescent="0.25">
      <c r="A5" s="542"/>
      <c r="B5" s="127" t="s">
        <v>5</v>
      </c>
      <c r="C5" s="127">
        <v>55</v>
      </c>
      <c r="D5" s="127">
        <v>31.5</v>
      </c>
      <c r="E5" s="127">
        <v>32.5</v>
      </c>
      <c r="F5" s="127">
        <v>89.7</v>
      </c>
      <c r="G5" s="127">
        <v>66.7</v>
      </c>
      <c r="H5" s="127">
        <v>83.5</v>
      </c>
      <c r="I5" s="127">
        <v>81.5</v>
      </c>
      <c r="J5" s="127">
        <v>23.5</v>
      </c>
      <c r="K5" s="127">
        <v>52</v>
      </c>
      <c r="L5" s="127">
        <v>82</v>
      </c>
      <c r="M5" s="127">
        <v>85.5</v>
      </c>
      <c r="N5" s="127">
        <v>23</v>
      </c>
      <c r="O5" s="127">
        <v>49.5</v>
      </c>
      <c r="P5" s="127">
        <v>38.5</v>
      </c>
      <c r="Q5" s="127">
        <v>85.5</v>
      </c>
      <c r="R5" s="127">
        <v>62.5</v>
      </c>
      <c r="S5" s="127">
        <v>65</v>
      </c>
      <c r="T5" s="127">
        <v>67.5</v>
      </c>
      <c r="U5" s="127">
        <v>79</v>
      </c>
      <c r="V5" s="127">
        <v>69.5</v>
      </c>
      <c r="W5" s="127">
        <v>29</v>
      </c>
      <c r="X5" s="127">
        <v>35</v>
      </c>
      <c r="Y5" s="127">
        <v>12.5</v>
      </c>
      <c r="Z5" s="127">
        <v>20.5</v>
      </c>
      <c r="AA5" s="127">
        <v>22.5</v>
      </c>
      <c r="AB5" s="127">
        <v>10.5</v>
      </c>
      <c r="AC5" s="127">
        <v>25</v>
      </c>
      <c r="AD5" s="127">
        <v>25</v>
      </c>
      <c r="AE5" s="127">
        <v>14.5</v>
      </c>
      <c r="AF5" s="127">
        <v>0</v>
      </c>
      <c r="AH5" s="127">
        <v>56</v>
      </c>
      <c r="AI5" s="127">
        <v>50.5</v>
      </c>
      <c r="AJ5" s="127">
        <v>46.2</v>
      </c>
      <c r="AK5" s="127">
        <v>51.5</v>
      </c>
      <c r="AL5" s="127">
        <v>70</v>
      </c>
      <c r="AN5" s="127">
        <v>104.5</v>
      </c>
      <c r="AO5" s="127">
        <v>94.5</v>
      </c>
      <c r="AP5" s="127">
        <v>100</v>
      </c>
      <c r="AQ5" s="127">
        <v>50.5</v>
      </c>
      <c r="AR5" s="127">
        <v>88.5</v>
      </c>
      <c r="AS5" s="127">
        <v>80</v>
      </c>
      <c r="AT5" s="127">
        <v>67.5</v>
      </c>
      <c r="AU5" s="127">
        <v>72</v>
      </c>
      <c r="AV5" s="127">
        <v>65.5</v>
      </c>
      <c r="AW5" s="127">
        <v>64.5</v>
      </c>
      <c r="AX5" s="127">
        <v>5</v>
      </c>
      <c r="AY5" s="127">
        <v>83.5</v>
      </c>
      <c r="AZ5" s="127">
        <v>50.5</v>
      </c>
      <c r="BA5" s="127">
        <v>49.5</v>
      </c>
      <c r="BB5" s="127">
        <v>87.5</v>
      </c>
      <c r="BC5" s="127">
        <v>82.5</v>
      </c>
      <c r="BD5" s="127">
        <v>80</v>
      </c>
      <c r="BE5" s="127">
        <v>78.5</v>
      </c>
      <c r="BF5" s="127">
        <v>71.5</v>
      </c>
      <c r="BG5" s="127">
        <v>82</v>
      </c>
      <c r="BH5" s="127">
        <v>47.5</v>
      </c>
      <c r="BI5" s="127">
        <v>13</v>
      </c>
      <c r="BJ5" s="127">
        <v>0</v>
      </c>
      <c r="BK5" s="127">
        <v>56.5</v>
      </c>
      <c r="BL5" s="127">
        <v>61.5</v>
      </c>
      <c r="BM5" s="127">
        <v>55</v>
      </c>
      <c r="BN5" s="127">
        <v>12</v>
      </c>
      <c r="BO5" s="127">
        <v>9</v>
      </c>
      <c r="BP5" s="127">
        <v>45</v>
      </c>
      <c r="BQ5" s="127">
        <v>27.5</v>
      </c>
      <c r="BR5" s="127">
        <v>28.5</v>
      </c>
      <c r="BS5" s="127">
        <v>11.5</v>
      </c>
      <c r="BT5" s="127">
        <v>19</v>
      </c>
      <c r="BU5" s="127">
        <v>28.5</v>
      </c>
      <c r="BV5" s="127">
        <v>17.5</v>
      </c>
      <c r="BW5" s="127">
        <v>7</v>
      </c>
      <c r="BX5" s="127">
        <v>10</v>
      </c>
      <c r="BY5" s="127">
        <v>10</v>
      </c>
      <c r="BZ5" s="127">
        <v>17</v>
      </c>
      <c r="CA5" s="127">
        <v>5</v>
      </c>
      <c r="CD5" s="127">
        <v>6</v>
      </c>
      <c r="CF5" s="127">
        <v>4.5</v>
      </c>
      <c r="CG5" s="127">
        <v>18</v>
      </c>
      <c r="CH5" s="127">
        <v>15.5</v>
      </c>
      <c r="CI5" s="127">
        <v>3</v>
      </c>
      <c r="CJ5" s="127">
        <v>0</v>
      </c>
      <c r="CK5" s="127">
        <v>15</v>
      </c>
    </row>
    <row r="6" spans="1:89" x14ac:dyDescent="0.25">
      <c r="A6" s="542"/>
      <c r="B6" s="127" t="s">
        <v>10</v>
      </c>
      <c r="C6" s="127">
        <v>2.2999999999999998</v>
      </c>
      <c r="D6" s="127">
        <v>1.5</v>
      </c>
      <c r="E6" s="127">
        <v>0</v>
      </c>
      <c r="F6" s="127">
        <v>2.8</v>
      </c>
      <c r="G6" s="127">
        <v>0.5</v>
      </c>
      <c r="H6" s="127">
        <v>0</v>
      </c>
      <c r="I6" s="127">
        <v>0</v>
      </c>
      <c r="J6" s="127">
        <v>0</v>
      </c>
      <c r="K6" s="127">
        <v>1.5</v>
      </c>
      <c r="L6" s="127">
        <v>1.5</v>
      </c>
      <c r="M6" s="127">
        <v>1.5</v>
      </c>
      <c r="N6" s="127">
        <v>0</v>
      </c>
      <c r="O6" s="127">
        <v>0</v>
      </c>
      <c r="P6" s="127">
        <v>0</v>
      </c>
      <c r="Q6" s="127">
        <v>2</v>
      </c>
      <c r="R6" s="127">
        <v>2</v>
      </c>
      <c r="S6" s="127">
        <v>2</v>
      </c>
      <c r="T6" s="127">
        <v>1.5</v>
      </c>
      <c r="U6" s="127">
        <v>0</v>
      </c>
      <c r="V6" s="127">
        <v>0</v>
      </c>
      <c r="W6" s="127">
        <v>0</v>
      </c>
      <c r="X6" s="127">
        <v>0</v>
      </c>
      <c r="Y6" s="127">
        <v>0</v>
      </c>
      <c r="Z6" s="127">
        <v>0</v>
      </c>
      <c r="AA6" s="127">
        <v>0</v>
      </c>
      <c r="AB6" s="127">
        <v>0</v>
      </c>
      <c r="AC6" s="127">
        <v>0</v>
      </c>
      <c r="AD6" s="127">
        <v>0</v>
      </c>
      <c r="AE6" s="127">
        <v>0</v>
      </c>
      <c r="AF6" s="127">
        <v>0</v>
      </c>
      <c r="AH6" s="127">
        <v>23</v>
      </c>
      <c r="AI6" s="127">
        <v>20</v>
      </c>
      <c r="AJ6" s="127">
        <v>6</v>
      </c>
      <c r="AK6" s="127">
        <v>19.5</v>
      </c>
      <c r="AL6" s="127">
        <v>23.5</v>
      </c>
      <c r="AN6" s="127">
        <v>8</v>
      </c>
      <c r="AO6" s="127">
        <v>12</v>
      </c>
      <c r="AP6" s="127">
        <v>5</v>
      </c>
      <c r="AQ6" s="127">
        <v>0</v>
      </c>
      <c r="AR6" s="127">
        <v>5</v>
      </c>
      <c r="AS6" s="127">
        <v>4.5</v>
      </c>
      <c r="AT6" s="127">
        <v>0.5</v>
      </c>
      <c r="AU6" s="127">
        <v>0.5</v>
      </c>
      <c r="AV6" s="127">
        <v>0</v>
      </c>
      <c r="AW6" s="127">
        <v>0</v>
      </c>
      <c r="AX6" s="127">
        <v>0</v>
      </c>
      <c r="AY6" s="127">
        <v>3</v>
      </c>
      <c r="AZ6" s="127">
        <v>1</v>
      </c>
      <c r="BA6" s="127">
        <v>0</v>
      </c>
      <c r="BB6" s="127">
        <v>3.5</v>
      </c>
      <c r="BC6" s="127">
        <v>2.5</v>
      </c>
      <c r="BD6" s="127">
        <v>3</v>
      </c>
      <c r="BE6" s="127">
        <v>3.5</v>
      </c>
      <c r="BF6" s="127">
        <v>2</v>
      </c>
      <c r="BG6" s="127">
        <v>4</v>
      </c>
      <c r="BH6" s="127">
        <v>0.5</v>
      </c>
      <c r="BI6" s="127">
        <v>0</v>
      </c>
      <c r="BJ6" s="127">
        <v>0</v>
      </c>
      <c r="BK6" s="127">
        <v>2</v>
      </c>
      <c r="BL6" s="127">
        <v>2.5</v>
      </c>
      <c r="BM6" s="127">
        <v>2.5</v>
      </c>
      <c r="BN6" s="127">
        <v>0</v>
      </c>
      <c r="BO6" s="127">
        <v>3</v>
      </c>
      <c r="BP6" s="127">
        <v>3</v>
      </c>
      <c r="BQ6" s="127">
        <v>0</v>
      </c>
      <c r="BR6" s="127">
        <v>0</v>
      </c>
      <c r="BS6" s="127">
        <v>0</v>
      </c>
      <c r="BT6" s="127">
        <v>0</v>
      </c>
      <c r="BU6" s="127">
        <v>0</v>
      </c>
      <c r="BV6" s="127">
        <v>0</v>
      </c>
      <c r="BW6" s="127">
        <v>0</v>
      </c>
      <c r="BX6" s="127">
        <v>0</v>
      </c>
      <c r="BY6" s="127">
        <v>0</v>
      </c>
      <c r="BZ6" s="127">
        <v>0</v>
      </c>
      <c r="CA6" s="127">
        <v>0</v>
      </c>
      <c r="CD6" s="127">
        <v>0</v>
      </c>
      <c r="CF6" s="127">
        <v>0</v>
      </c>
      <c r="CG6" s="127">
        <v>0</v>
      </c>
      <c r="CH6" s="127">
        <v>0</v>
      </c>
      <c r="CI6" s="127">
        <v>0</v>
      </c>
      <c r="CJ6" s="127">
        <v>0</v>
      </c>
      <c r="CK6" s="127">
        <v>0</v>
      </c>
    </row>
    <row r="7" spans="1:89" x14ac:dyDescent="0.25">
      <c r="A7" s="543"/>
      <c r="B7" s="127" t="s">
        <v>454</v>
      </c>
      <c r="C7" s="127">
        <v>0</v>
      </c>
      <c r="D7" s="127">
        <v>0</v>
      </c>
      <c r="E7" s="127">
        <v>0</v>
      </c>
      <c r="F7" s="127">
        <v>0.5</v>
      </c>
      <c r="G7" s="127">
        <v>0</v>
      </c>
      <c r="H7" s="127">
        <v>0</v>
      </c>
      <c r="I7" s="127">
        <v>0</v>
      </c>
      <c r="J7" s="127">
        <v>0</v>
      </c>
      <c r="K7" s="127">
        <v>0</v>
      </c>
      <c r="L7" s="127">
        <v>1</v>
      </c>
      <c r="M7" s="127">
        <v>0</v>
      </c>
      <c r="N7" s="127">
        <v>0</v>
      </c>
      <c r="O7" s="127">
        <v>0</v>
      </c>
      <c r="P7" s="127">
        <v>2</v>
      </c>
      <c r="Q7" s="127">
        <v>0</v>
      </c>
      <c r="R7" s="127">
        <v>0.36666666666666664</v>
      </c>
      <c r="S7" s="127">
        <v>0.36666666666666664</v>
      </c>
      <c r="T7" s="127">
        <v>0</v>
      </c>
      <c r="U7" s="127">
        <v>0</v>
      </c>
      <c r="V7" s="127">
        <v>0</v>
      </c>
      <c r="W7" s="127">
        <v>0.5</v>
      </c>
      <c r="X7" s="127">
        <v>2</v>
      </c>
      <c r="Y7" s="127">
        <v>2.5</v>
      </c>
      <c r="Z7" s="127">
        <v>0</v>
      </c>
      <c r="AA7" s="127">
        <v>0</v>
      </c>
      <c r="AB7" s="127">
        <v>0</v>
      </c>
      <c r="AC7" s="127">
        <v>0</v>
      </c>
      <c r="AD7" s="127">
        <v>0</v>
      </c>
      <c r="AE7" s="127">
        <v>0</v>
      </c>
      <c r="AF7" s="127">
        <v>0</v>
      </c>
      <c r="AH7" s="127">
        <v>0</v>
      </c>
      <c r="AI7" s="127">
        <v>2.5</v>
      </c>
      <c r="AJ7" s="127">
        <v>2</v>
      </c>
      <c r="AK7" s="127">
        <v>0.5</v>
      </c>
      <c r="AL7" s="127">
        <v>0</v>
      </c>
      <c r="AN7" s="127">
        <v>1.5</v>
      </c>
      <c r="AO7" s="127">
        <v>0</v>
      </c>
      <c r="AP7" s="127">
        <v>0</v>
      </c>
      <c r="AQ7" s="127">
        <v>0</v>
      </c>
      <c r="AR7" s="127">
        <v>0</v>
      </c>
      <c r="AS7" s="127">
        <v>0</v>
      </c>
      <c r="AT7" s="127">
        <v>0</v>
      </c>
      <c r="AU7" s="127">
        <v>0</v>
      </c>
      <c r="AV7" s="127">
        <v>0</v>
      </c>
      <c r="AW7" s="127">
        <v>0</v>
      </c>
      <c r="AX7" s="127">
        <v>0</v>
      </c>
      <c r="AY7" s="127">
        <v>2</v>
      </c>
      <c r="AZ7" s="127">
        <v>0</v>
      </c>
      <c r="BA7" s="127">
        <v>2</v>
      </c>
      <c r="BB7" s="127">
        <v>0</v>
      </c>
      <c r="BC7" s="127">
        <v>2</v>
      </c>
      <c r="BD7" s="127">
        <v>0</v>
      </c>
      <c r="BE7" s="127">
        <v>0</v>
      </c>
      <c r="BF7" s="127">
        <v>1.5</v>
      </c>
      <c r="BG7" s="127">
        <v>0</v>
      </c>
      <c r="BH7" s="127">
        <v>0</v>
      </c>
      <c r="BI7" s="127">
        <v>0</v>
      </c>
      <c r="BJ7" s="127">
        <v>0</v>
      </c>
      <c r="BK7" s="127">
        <v>0</v>
      </c>
      <c r="BL7" s="127">
        <v>0</v>
      </c>
      <c r="BM7" s="127">
        <v>0</v>
      </c>
      <c r="BN7" s="127">
        <v>0</v>
      </c>
      <c r="BO7" s="127">
        <v>0</v>
      </c>
      <c r="BP7" s="127">
        <v>0</v>
      </c>
      <c r="BQ7" s="127">
        <v>0</v>
      </c>
      <c r="BR7" s="127">
        <v>0</v>
      </c>
      <c r="BS7" s="127">
        <v>0</v>
      </c>
      <c r="BT7" s="127">
        <v>0</v>
      </c>
      <c r="BU7" s="127">
        <v>0</v>
      </c>
      <c r="BV7" s="127">
        <v>0</v>
      </c>
      <c r="BW7" s="127">
        <v>0</v>
      </c>
      <c r="BX7" s="127">
        <v>0</v>
      </c>
      <c r="BY7" s="127">
        <v>0</v>
      </c>
      <c r="BZ7" s="127">
        <v>0</v>
      </c>
      <c r="CA7" s="127">
        <v>0</v>
      </c>
      <c r="CD7" s="127">
        <v>0</v>
      </c>
      <c r="CF7" s="127">
        <v>0</v>
      </c>
      <c r="CG7" s="127">
        <v>0</v>
      </c>
      <c r="CH7" s="127">
        <v>0</v>
      </c>
      <c r="CI7" s="127">
        <v>0</v>
      </c>
      <c r="CJ7" s="127">
        <v>0</v>
      </c>
      <c r="CK7" s="127">
        <v>0</v>
      </c>
    </row>
    <row r="8" spans="1:89" x14ac:dyDescent="0.25">
      <c r="A8" s="127" t="s">
        <v>12</v>
      </c>
      <c r="B8" s="127" t="s">
        <v>1</v>
      </c>
      <c r="C8" s="127">
        <v>10</v>
      </c>
      <c r="D8" s="127">
        <v>10</v>
      </c>
      <c r="E8" s="127">
        <v>0</v>
      </c>
      <c r="F8" s="127">
        <v>36.200000000000003</v>
      </c>
      <c r="G8" s="127">
        <v>0</v>
      </c>
      <c r="H8" s="127">
        <v>40.5</v>
      </c>
      <c r="I8" s="127">
        <v>40.5</v>
      </c>
      <c r="J8" s="127">
        <v>13.5</v>
      </c>
      <c r="K8" s="127">
        <v>0</v>
      </c>
      <c r="L8" s="127">
        <v>23.5</v>
      </c>
      <c r="M8" s="127">
        <v>23.5</v>
      </c>
      <c r="N8" s="127">
        <v>8</v>
      </c>
      <c r="O8" s="127">
        <v>14</v>
      </c>
      <c r="P8" s="127">
        <v>8.5</v>
      </c>
      <c r="Q8" s="127">
        <v>8.5</v>
      </c>
      <c r="R8" s="127">
        <v>8.5</v>
      </c>
      <c r="S8" s="127">
        <v>0</v>
      </c>
      <c r="T8" s="127">
        <v>0</v>
      </c>
      <c r="U8" s="127">
        <v>32.5</v>
      </c>
      <c r="V8" s="127">
        <v>0</v>
      </c>
      <c r="W8" s="127">
        <v>16</v>
      </c>
      <c r="X8" s="127">
        <v>0</v>
      </c>
      <c r="Y8" s="127">
        <v>8</v>
      </c>
      <c r="Z8" s="127">
        <v>0</v>
      </c>
      <c r="AA8" s="127">
        <v>0</v>
      </c>
      <c r="AB8" s="127">
        <v>0</v>
      </c>
      <c r="AC8" s="127">
        <v>0</v>
      </c>
      <c r="AD8" s="127">
        <v>0</v>
      </c>
      <c r="AE8" s="127">
        <v>8</v>
      </c>
      <c r="AF8" s="127">
        <v>0</v>
      </c>
      <c r="AH8" s="127">
        <v>19</v>
      </c>
      <c r="AI8" s="127">
        <v>25.5</v>
      </c>
      <c r="AJ8" s="127">
        <v>23.5</v>
      </c>
      <c r="AK8" s="127">
        <v>25.5</v>
      </c>
      <c r="AL8" s="127">
        <v>34.5</v>
      </c>
      <c r="AN8" s="127">
        <v>44</v>
      </c>
      <c r="AO8" s="127">
        <v>29.5</v>
      </c>
      <c r="AP8" s="127">
        <v>43</v>
      </c>
      <c r="AQ8" s="127">
        <v>0</v>
      </c>
      <c r="AR8" s="127">
        <v>31</v>
      </c>
      <c r="AS8" s="127">
        <v>21.5</v>
      </c>
      <c r="AT8" s="127">
        <v>28</v>
      </c>
      <c r="AU8" s="127">
        <v>29.5</v>
      </c>
      <c r="AV8" s="127">
        <v>0</v>
      </c>
      <c r="AW8" s="127">
        <v>5.5</v>
      </c>
      <c r="AX8" s="127">
        <v>0</v>
      </c>
      <c r="AY8" s="127">
        <v>17</v>
      </c>
      <c r="AZ8" s="127">
        <v>17</v>
      </c>
      <c r="BA8" s="127">
        <v>0</v>
      </c>
      <c r="BB8" s="127">
        <v>32</v>
      </c>
      <c r="BC8" s="127">
        <v>32</v>
      </c>
      <c r="BD8" s="127">
        <v>25.5</v>
      </c>
      <c r="BE8" s="127">
        <v>35.5</v>
      </c>
      <c r="BF8" s="127">
        <v>33.5</v>
      </c>
      <c r="BG8" s="127">
        <v>35.5</v>
      </c>
      <c r="BH8" s="127">
        <v>34.5</v>
      </c>
      <c r="BI8" s="127">
        <v>9</v>
      </c>
      <c r="BJ8" s="127">
        <v>0</v>
      </c>
      <c r="BK8" s="127">
        <v>16</v>
      </c>
      <c r="BL8" s="127">
        <v>0</v>
      </c>
      <c r="BM8" s="127">
        <v>8</v>
      </c>
      <c r="BN8" s="127">
        <v>0</v>
      </c>
      <c r="BO8" s="127">
        <v>8</v>
      </c>
      <c r="BP8" s="127">
        <v>0</v>
      </c>
      <c r="BQ8" s="127">
        <v>0</v>
      </c>
      <c r="BR8" s="127">
        <v>8</v>
      </c>
      <c r="BS8" s="127">
        <v>0</v>
      </c>
      <c r="BT8" s="127">
        <v>16</v>
      </c>
      <c r="BU8" s="127">
        <v>8</v>
      </c>
      <c r="BV8" s="127">
        <v>8</v>
      </c>
      <c r="BW8" s="127">
        <v>0</v>
      </c>
      <c r="BX8" s="127">
        <v>8</v>
      </c>
      <c r="BY8" s="127">
        <v>8</v>
      </c>
      <c r="BZ8" s="127">
        <v>0</v>
      </c>
      <c r="CA8" s="127">
        <v>0</v>
      </c>
      <c r="CD8" s="127">
        <v>0</v>
      </c>
      <c r="CF8" s="127">
        <v>22</v>
      </c>
      <c r="CG8" s="127">
        <v>25</v>
      </c>
      <c r="CH8" s="127">
        <v>8</v>
      </c>
      <c r="CI8" s="127">
        <v>25</v>
      </c>
      <c r="CJ8" s="127">
        <v>0</v>
      </c>
      <c r="CK8" s="127">
        <v>8</v>
      </c>
    </row>
    <row r="9" spans="1:89" x14ac:dyDescent="0.25">
      <c r="A9" s="541" t="s">
        <v>19</v>
      </c>
      <c r="B9" s="127" t="s">
        <v>20</v>
      </c>
      <c r="C9" s="127">
        <v>0</v>
      </c>
      <c r="D9" s="127">
        <v>0</v>
      </c>
      <c r="E9" s="127">
        <v>0</v>
      </c>
      <c r="F9" s="127">
        <v>0</v>
      </c>
      <c r="G9" s="127">
        <v>0</v>
      </c>
      <c r="H9" s="127">
        <v>0</v>
      </c>
      <c r="I9" s="127">
        <v>0</v>
      </c>
      <c r="J9" s="127">
        <v>0</v>
      </c>
      <c r="K9" s="127">
        <v>0</v>
      </c>
      <c r="L9" s="127">
        <v>0</v>
      </c>
      <c r="M9" s="127">
        <v>0</v>
      </c>
      <c r="N9" s="127">
        <v>0</v>
      </c>
      <c r="O9" s="127">
        <v>0</v>
      </c>
      <c r="P9" s="127">
        <v>0</v>
      </c>
      <c r="Q9" s="127">
        <v>0</v>
      </c>
      <c r="R9" s="127">
        <v>0</v>
      </c>
      <c r="S9" s="127">
        <v>0</v>
      </c>
      <c r="T9" s="127">
        <v>0</v>
      </c>
      <c r="U9" s="127">
        <v>0</v>
      </c>
      <c r="V9" s="127">
        <v>0</v>
      </c>
      <c r="W9" s="127">
        <v>0</v>
      </c>
      <c r="X9" s="127">
        <v>0</v>
      </c>
      <c r="Y9" s="127">
        <v>0</v>
      </c>
      <c r="Z9" s="127">
        <v>0</v>
      </c>
      <c r="AA9" s="127">
        <v>0</v>
      </c>
      <c r="AB9" s="127">
        <v>0</v>
      </c>
      <c r="AC9" s="127">
        <v>0</v>
      </c>
      <c r="AD9" s="127">
        <v>0</v>
      </c>
      <c r="AE9" s="127">
        <v>0</v>
      </c>
      <c r="AF9" s="127">
        <v>0</v>
      </c>
      <c r="AH9" s="127">
        <v>0</v>
      </c>
      <c r="AI9" s="127">
        <v>0</v>
      </c>
      <c r="AJ9" s="127">
        <v>0</v>
      </c>
      <c r="AK9" s="127">
        <v>0</v>
      </c>
      <c r="AL9" s="127">
        <v>0</v>
      </c>
      <c r="AN9" s="127">
        <v>0</v>
      </c>
      <c r="AO9" s="127">
        <v>0</v>
      </c>
      <c r="AP9" s="127">
        <v>0</v>
      </c>
      <c r="AQ9" s="127">
        <v>0</v>
      </c>
      <c r="AR9" s="127">
        <v>0</v>
      </c>
      <c r="AS9" s="127">
        <v>0</v>
      </c>
      <c r="AT9" s="127">
        <v>0</v>
      </c>
      <c r="AU9" s="127">
        <v>0</v>
      </c>
      <c r="AV9" s="127">
        <v>0</v>
      </c>
      <c r="AW9" s="127">
        <v>0</v>
      </c>
      <c r="AX9" s="127">
        <v>0</v>
      </c>
      <c r="AY9" s="127">
        <v>0</v>
      </c>
      <c r="AZ9" s="127">
        <v>0</v>
      </c>
      <c r="BA9" s="127">
        <v>0</v>
      </c>
      <c r="BB9" s="127">
        <v>0</v>
      </c>
      <c r="BC9" s="127">
        <v>0</v>
      </c>
      <c r="BD9" s="127">
        <v>0</v>
      </c>
      <c r="BE9" s="127">
        <v>0</v>
      </c>
      <c r="BF9" s="127">
        <v>0</v>
      </c>
      <c r="BG9" s="127">
        <v>0</v>
      </c>
      <c r="BH9" s="127">
        <v>0</v>
      </c>
      <c r="BI9" s="127">
        <v>0</v>
      </c>
      <c r="BJ9" s="127">
        <v>0</v>
      </c>
      <c r="BK9" s="127">
        <v>0</v>
      </c>
      <c r="BL9" s="127">
        <v>0</v>
      </c>
      <c r="BM9" s="127">
        <v>0</v>
      </c>
      <c r="BN9" s="127">
        <v>0</v>
      </c>
      <c r="BO9" s="127">
        <v>0</v>
      </c>
      <c r="BP9" s="127">
        <v>0</v>
      </c>
      <c r="BQ9" s="127">
        <v>0</v>
      </c>
      <c r="BR9" s="127">
        <v>0</v>
      </c>
      <c r="BS9" s="127">
        <v>0</v>
      </c>
      <c r="BT9" s="127">
        <v>0</v>
      </c>
      <c r="BU9" s="127">
        <v>0</v>
      </c>
      <c r="BV9" s="127">
        <v>0</v>
      </c>
      <c r="BW9" s="127">
        <v>0</v>
      </c>
      <c r="BX9" s="127">
        <v>0</v>
      </c>
      <c r="BY9" s="127">
        <v>0</v>
      </c>
      <c r="BZ9" s="127">
        <v>0</v>
      </c>
      <c r="CA9" s="127">
        <v>0</v>
      </c>
      <c r="CD9" s="127">
        <v>0</v>
      </c>
      <c r="CF9" s="127">
        <v>0</v>
      </c>
      <c r="CG9" s="127">
        <v>0</v>
      </c>
      <c r="CH9" s="127">
        <v>0</v>
      </c>
      <c r="CI9" s="127">
        <v>0</v>
      </c>
      <c r="CJ9" s="127">
        <v>0</v>
      </c>
      <c r="CK9" s="127">
        <v>0</v>
      </c>
    </row>
    <row r="10" spans="1:89" x14ac:dyDescent="0.25">
      <c r="A10" s="542"/>
      <c r="B10" s="127" t="s">
        <v>21</v>
      </c>
      <c r="C10" s="127">
        <v>0</v>
      </c>
      <c r="D10" s="127">
        <v>1</v>
      </c>
      <c r="E10" s="127">
        <v>0</v>
      </c>
      <c r="F10" s="127">
        <v>0</v>
      </c>
      <c r="G10" s="127">
        <v>0</v>
      </c>
      <c r="H10" s="127">
        <v>0</v>
      </c>
      <c r="I10" s="127">
        <v>0</v>
      </c>
      <c r="J10" s="127">
        <v>2</v>
      </c>
      <c r="K10" s="127">
        <v>0</v>
      </c>
      <c r="L10" s="127">
        <v>0</v>
      </c>
      <c r="M10" s="127">
        <v>0</v>
      </c>
      <c r="N10" s="127">
        <v>2</v>
      </c>
      <c r="O10" s="127">
        <v>0</v>
      </c>
      <c r="P10" s="127">
        <v>3</v>
      </c>
      <c r="Q10" s="127">
        <v>0</v>
      </c>
      <c r="R10" s="127">
        <v>3</v>
      </c>
      <c r="S10" s="127">
        <v>1</v>
      </c>
      <c r="T10" s="127">
        <v>1</v>
      </c>
      <c r="U10" s="127">
        <v>1</v>
      </c>
      <c r="V10" s="127">
        <v>0</v>
      </c>
      <c r="W10" s="127">
        <v>1</v>
      </c>
      <c r="X10" s="127">
        <v>0</v>
      </c>
      <c r="Y10" s="127">
        <v>0</v>
      </c>
      <c r="Z10" s="127">
        <v>0</v>
      </c>
      <c r="AA10" s="127">
        <v>0</v>
      </c>
      <c r="AB10" s="127">
        <v>0</v>
      </c>
      <c r="AC10" s="127">
        <v>0</v>
      </c>
      <c r="AD10" s="127">
        <v>0</v>
      </c>
      <c r="AE10" s="127">
        <v>0</v>
      </c>
      <c r="AF10" s="127">
        <v>0</v>
      </c>
      <c r="AH10" s="127">
        <v>1</v>
      </c>
      <c r="AI10" s="127">
        <v>2</v>
      </c>
      <c r="AJ10" s="127">
        <v>1</v>
      </c>
      <c r="AK10" s="127">
        <v>1</v>
      </c>
      <c r="AL10" s="127">
        <v>0</v>
      </c>
      <c r="AN10" s="127">
        <v>0</v>
      </c>
      <c r="AO10" s="127">
        <v>1</v>
      </c>
      <c r="AP10" s="127">
        <v>0</v>
      </c>
      <c r="AQ10" s="127">
        <v>0</v>
      </c>
      <c r="AR10" s="127">
        <v>1</v>
      </c>
      <c r="AS10" s="127">
        <v>0</v>
      </c>
      <c r="AT10" s="127">
        <v>1</v>
      </c>
      <c r="AU10" s="127">
        <v>0</v>
      </c>
      <c r="AV10" s="127">
        <v>0</v>
      </c>
      <c r="AW10" s="127">
        <v>1</v>
      </c>
      <c r="AX10" s="127">
        <v>0</v>
      </c>
      <c r="AY10" s="127">
        <v>1</v>
      </c>
      <c r="AZ10" s="127">
        <v>0</v>
      </c>
      <c r="BA10" s="127">
        <v>1</v>
      </c>
      <c r="BB10" s="127">
        <v>1</v>
      </c>
      <c r="BC10" s="127">
        <v>0</v>
      </c>
      <c r="BD10" s="127">
        <v>0</v>
      </c>
      <c r="BE10" s="127">
        <v>0</v>
      </c>
      <c r="BF10" s="127">
        <v>0</v>
      </c>
      <c r="BG10" s="127">
        <v>0</v>
      </c>
      <c r="BH10" s="127">
        <v>3</v>
      </c>
      <c r="BI10" s="127">
        <v>0</v>
      </c>
      <c r="BJ10" s="127">
        <v>0</v>
      </c>
      <c r="BK10" s="127">
        <v>2</v>
      </c>
      <c r="BL10" s="127">
        <v>1</v>
      </c>
      <c r="BM10" s="127">
        <v>0</v>
      </c>
      <c r="BN10" s="127">
        <v>0</v>
      </c>
      <c r="BO10" s="127">
        <v>0</v>
      </c>
      <c r="BP10" s="127">
        <v>0</v>
      </c>
      <c r="BQ10" s="127">
        <v>0</v>
      </c>
      <c r="BR10" s="127">
        <v>0</v>
      </c>
      <c r="BS10" s="127">
        <v>1</v>
      </c>
      <c r="BT10" s="127">
        <v>0</v>
      </c>
      <c r="BU10" s="127">
        <v>0</v>
      </c>
      <c r="BV10" s="127">
        <v>0</v>
      </c>
      <c r="BW10" s="127">
        <v>0</v>
      </c>
      <c r="BX10" s="127">
        <v>0</v>
      </c>
      <c r="BY10" s="127">
        <v>0</v>
      </c>
      <c r="BZ10" s="127">
        <v>0</v>
      </c>
      <c r="CA10" s="127">
        <v>0</v>
      </c>
      <c r="CD10" s="127">
        <v>0</v>
      </c>
      <c r="CF10" s="127">
        <v>0</v>
      </c>
      <c r="CG10" s="127">
        <v>0</v>
      </c>
      <c r="CH10" s="127">
        <v>0</v>
      </c>
      <c r="CI10" s="127">
        <v>0</v>
      </c>
      <c r="CJ10" s="127">
        <v>1</v>
      </c>
      <c r="CK10" s="127">
        <v>0</v>
      </c>
    </row>
    <row r="11" spans="1:89" x14ac:dyDescent="0.25">
      <c r="A11" s="542"/>
      <c r="B11" s="127" t="s">
        <v>22</v>
      </c>
      <c r="C11" s="127">
        <v>0</v>
      </c>
      <c r="D11" s="127">
        <v>0</v>
      </c>
      <c r="E11" s="127">
        <v>0</v>
      </c>
      <c r="F11" s="127">
        <v>0</v>
      </c>
      <c r="G11" s="127">
        <v>0</v>
      </c>
      <c r="H11" s="127">
        <v>0</v>
      </c>
      <c r="I11" s="127">
        <v>0</v>
      </c>
      <c r="J11" s="127">
        <v>0</v>
      </c>
      <c r="K11" s="127">
        <v>0</v>
      </c>
      <c r="L11" s="127">
        <v>0</v>
      </c>
      <c r="M11" s="127">
        <v>0</v>
      </c>
      <c r="N11" s="127">
        <v>0</v>
      </c>
      <c r="O11" s="127">
        <v>0</v>
      </c>
      <c r="P11" s="127">
        <v>0</v>
      </c>
      <c r="Q11" s="127">
        <v>0</v>
      </c>
      <c r="R11" s="127">
        <v>0</v>
      </c>
      <c r="S11" s="127">
        <v>0</v>
      </c>
      <c r="T11" s="127">
        <v>0</v>
      </c>
      <c r="U11" s="127">
        <v>0</v>
      </c>
      <c r="V11" s="127">
        <v>0</v>
      </c>
      <c r="W11" s="127">
        <v>0</v>
      </c>
      <c r="X11" s="127">
        <v>0</v>
      </c>
      <c r="Y11" s="127">
        <v>0</v>
      </c>
      <c r="Z11" s="127">
        <v>0</v>
      </c>
      <c r="AA11" s="127">
        <v>0</v>
      </c>
      <c r="AB11" s="127">
        <v>0</v>
      </c>
      <c r="AC11" s="127">
        <v>0</v>
      </c>
      <c r="AD11" s="127">
        <v>0</v>
      </c>
      <c r="AE11" s="127">
        <v>0</v>
      </c>
      <c r="AF11" s="127">
        <v>0</v>
      </c>
      <c r="AH11" s="127">
        <v>0</v>
      </c>
      <c r="AI11" s="127">
        <v>0</v>
      </c>
      <c r="AJ11" s="127">
        <v>0</v>
      </c>
      <c r="AK11" s="127">
        <v>0</v>
      </c>
      <c r="AL11" s="127">
        <v>0</v>
      </c>
      <c r="AN11" s="127">
        <v>0</v>
      </c>
      <c r="AO11" s="127">
        <v>0</v>
      </c>
      <c r="AP11" s="127">
        <v>0</v>
      </c>
      <c r="AQ11" s="127">
        <v>0</v>
      </c>
      <c r="AR11" s="127">
        <v>0</v>
      </c>
      <c r="AS11" s="127">
        <v>0</v>
      </c>
      <c r="AT11" s="127">
        <v>0</v>
      </c>
      <c r="AU11" s="127">
        <v>0</v>
      </c>
      <c r="AV11" s="127">
        <v>0</v>
      </c>
      <c r="AW11" s="127">
        <v>0</v>
      </c>
      <c r="AX11" s="127">
        <v>0</v>
      </c>
      <c r="AY11" s="127">
        <v>0</v>
      </c>
      <c r="AZ11" s="127">
        <v>0</v>
      </c>
      <c r="BA11" s="127">
        <v>0</v>
      </c>
      <c r="BB11" s="127">
        <v>0</v>
      </c>
      <c r="BC11" s="127">
        <v>0</v>
      </c>
      <c r="BD11" s="127">
        <v>0</v>
      </c>
      <c r="BE11" s="127">
        <v>0</v>
      </c>
      <c r="BF11" s="127">
        <v>0</v>
      </c>
      <c r="BG11" s="127">
        <v>0</v>
      </c>
      <c r="BH11" s="127">
        <v>0</v>
      </c>
      <c r="BI11" s="127">
        <v>0</v>
      </c>
      <c r="BJ11" s="127">
        <v>0</v>
      </c>
      <c r="BK11" s="127">
        <v>0</v>
      </c>
      <c r="BL11" s="127">
        <v>0</v>
      </c>
      <c r="BM11" s="127">
        <v>0</v>
      </c>
      <c r="BN11" s="127">
        <v>0</v>
      </c>
      <c r="BO11" s="127">
        <v>0</v>
      </c>
      <c r="BP11" s="127">
        <v>0</v>
      </c>
      <c r="BQ11" s="127">
        <v>0</v>
      </c>
      <c r="BR11" s="127">
        <v>0</v>
      </c>
      <c r="BS11" s="127">
        <v>0</v>
      </c>
      <c r="BT11" s="127">
        <v>0</v>
      </c>
      <c r="BU11" s="127">
        <v>0</v>
      </c>
      <c r="BV11" s="127">
        <v>0</v>
      </c>
      <c r="BW11" s="127">
        <v>0</v>
      </c>
      <c r="BX11" s="127">
        <v>0</v>
      </c>
      <c r="BY11" s="127">
        <v>0</v>
      </c>
      <c r="BZ11" s="127">
        <v>0</v>
      </c>
      <c r="CA11" s="127">
        <v>0</v>
      </c>
      <c r="CD11" s="127">
        <v>0</v>
      </c>
      <c r="CF11" s="127">
        <v>0</v>
      </c>
      <c r="CG11" s="127">
        <v>0</v>
      </c>
      <c r="CH11" s="127">
        <v>0</v>
      </c>
      <c r="CI11" s="127">
        <v>0</v>
      </c>
      <c r="CJ11" s="127">
        <v>0</v>
      </c>
      <c r="CK11" s="127">
        <v>0</v>
      </c>
    </row>
    <row r="12" spans="1:89" x14ac:dyDescent="0.25">
      <c r="A12" s="542"/>
      <c r="B12" s="127" t="s">
        <v>23</v>
      </c>
      <c r="C12" s="127">
        <v>1</v>
      </c>
      <c r="D12" s="127">
        <v>1</v>
      </c>
      <c r="E12" s="127">
        <v>1</v>
      </c>
      <c r="F12" s="127">
        <v>0</v>
      </c>
      <c r="G12" s="127">
        <v>0</v>
      </c>
      <c r="H12" s="127">
        <v>0</v>
      </c>
      <c r="I12" s="127">
        <v>0</v>
      </c>
      <c r="J12" s="127">
        <v>0</v>
      </c>
      <c r="K12" s="127">
        <v>0</v>
      </c>
      <c r="L12" s="127">
        <v>0</v>
      </c>
      <c r="M12" s="127">
        <v>0</v>
      </c>
      <c r="N12" s="127">
        <v>0</v>
      </c>
      <c r="O12" s="127">
        <v>0</v>
      </c>
      <c r="P12" s="127">
        <v>1</v>
      </c>
      <c r="Q12" s="127">
        <v>0</v>
      </c>
      <c r="R12" s="127">
        <v>0</v>
      </c>
      <c r="S12" s="127">
        <v>0</v>
      </c>
      <c r="T12" s="127">
        <v>0</v>
      </c>
      <c r="U12" s="127">
        <v>0</v>
      </c>
      <c r="V12" s="127">
        <v>0</v>
      </c>
      <c r="W12" s="127">
        <v>0</v>
      </c>
      <c r="X12" s="127">
        <v>0</v>
      </c>
      <c r="Y12" s="127">
        <v>0</v>
      </c>
      <c r="Z12" s="127">
        <v>0</v>
      </c>
      <c r="AA12" s="127">
        <v>0</v>
      </c>
      <c r="AB12" s="127">
        <v>0</v>
      </c>
      <c r="AC12" s="127">
        <v>0</v>
      </c>
      <c r="AD12" s="127">
        <v>0</v>
      </c>
      <c r="AE12" s="127">
        <v>0</v>
      </c>
      <c r="AF12" s="127">
        <v>0</v>
      </c>
      <c r="AH12" s="127">
        <v>0</v>
      </c>
      <c r="AI12" s="127">
        <v>0</v>
      </c>
      <c r="AJ12" s="127">
        <v>0</v>
      </c>
      <c r="AK12" s="127">
        <v>0</v>
      </c>
      <c r="AL12" s="127">
        <v>0</v>
      </c>
      <c r="AN12" s="127">
        <v>0</v>
      </c>
      <c r="AO12" s="127">
        <v>0</v>
      </c>
      <c r="AP12" s="127">
        <v>0</v>
      </c>
      <c r="AQ12" s="127">
        <v>0</v>
      </c>
      <c r="AR12" s="127">
        <v>0</v>
      </c>
      <c r="AS12" s="127">
        <v>0</v>
      </c>
      <c r="AT12" s="127">
        <v>0</v>
      </c>
      <c r="AU12" s="127">
        <v>0</v>
      </c>
      <c r="AV12" s="127">
        <v>0</v>
      </c>
      <c r="AW12" s="127">
        <v>0</v>
      </c>
      <c r="AX12" s="127">
        <v>0</v>
      </c>
      <c r="AY12" s="127">
        <v>0</v>
      </c>
      <c r="AZ12" s="127">
        <v>0</v>
      </c>
      <c r="BA12" s="127">
        <v>0</v>
      </c>
      <c r="BB12" s="127">
        <v>0</v>
      </c>
      <c r="BC12" s="127">
        <v>0</v>
      </c>
      <c r="BD12" s="127">
        <v>0</v>
      </c>
      <c r="BE12" s="127">
        <v>0</v>
      </c>
      <c r="BF12" s="127">
        <v>0</v>
      </c>
      <c r="BG12" s="127">
        <v>0</v>
      </c>
      <c r="BH12" s="127">
        <v>0</v>
      </c>
      <c r="BI12" s="127">
        <v>0</v>
      </c>
      <c r="BJ12" s="127">
        <v>0</v>
      </c>
      <c r="BK12" s="127">
        <v>0</v>
      </c>
      <c r="BL12" s="127">
        <v>0</v>
      </c>
      <c r="BM12" s="127">
        <v>0</v>
      </c>
      <c r="BN12" s="127">
        <v>0</v>
      </c>
      <c r="BO12" s="127">
        <v>0</v>
      </c>
      <c r="BP12" s="127">
        <v>0</v>
      </c>
      <c r="BQ12" s="127">
        <v>0</v>
      </c>
      <c r="BR12" s="127">
        <v>0</v>
      </c>
      <c r="BS12" s="127">
        <v>0</v>
      </c>
      <c r="BT12" s="127">
        <v>0</v>
      </c>
      <c r="BU12" s="127">
        <v>0</v>
      </c>
      <c r="BV12" s="127">
        <v>0</v>
      </c>
      <c r="BW12" s="127">
        <v>0</v>
      </c>
      <c r="BX12" s="127">
        <v>0</v>
      </c>
      <c r="BY12" s="127">
        <v>0</v>
      </c>
      <c r="BZ12" s="127">
        <v>0</v>
      </c>
      <c r="CA12" s="127">
        <v>0</v>
      </c>
      <c r="CD12" s="127">
        <v>0</v>
      </c>
      <c r="CF12" s="127">
        <v>0</v>
      </c>
      <c r="CG12" s="127">
        <v>0</v>
      </c>
      <c r="CH12" s="127">
        <v>0</v>
      </c>
      <c r="CI12" s="127">
        <v>0</v>
      </c>
      <c r="CJ12" s="127">
        <v>0</v>
      </c>
      <c r="CK12" s="127">
        <v>0</v>
      </c>
    </row>
    <row r="13" spans="1:89" x14ac:dyDescent="0.25">
      <c r="A13" s="543"/>
      <c r="B13" s="127" t="s">
        <v>455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0</v>
      </c>
      <c r="T13" s="127">
        <v>0</v>
      </c>
      <c r="U13" s="127">
        <v>0</v>
      </c>
      <c r="V13" s="127">
        <v>0</v>
      </c>
      <c r="W13" s="127">
        <v>0</v>
      </c>
      <c r="X13" s="127">
        <v>0</v>
      </c>
      <c r="Y13" s="127">
        <v>0</v>
      </c>
      <c r="Z13" s="127">
        <v>0</v>
      </c>
      <c r="AA13" s="127">
        <v>0</v>
      </c>
      <c r="AB13" s="127">
        <v>0</v>
      </c>
      <c r="AC13" s="127">
        <v>0</v>
      </c>
      <c r="AD13" s="127">
        <v>0</v>
      </c>
      <c r="AE13" s="127">
        <v>0</v>
      </c>
      <c r="AF13" s="127">
        <v>0</v>
      </c>
      <c r="AH13" s="127">
        <v>0</v>
      </c>
      <c r="AI13" s="127">
        <v>0</v>
      </c>
      <c r="AJ13" s="127">
        <v>0</v>
      </c>
      <c r="AK13" s="127">
        <v>0</v>
      </c>
      <c r="AL13" s="127">
        <v>0</v>
      </c>
      <c r="AN13" s="127">
        <v>0</v>
      </c>
      <c r="AO13" s="127">
        <v>0</v>
      </c>
      <c r="AP13" s="127">
        <v>0</v>
      </c>
      <c r="AQ13" s="127">
        <v>0</v>
      </c>
      <c r="AR13" s="127">
        <v>0</v>
      </c>
      <c r="AS13" s="127">
        <v>0</v>
      </c>
      <c r="AT13" s="127">
        <v>0</v>
      </c>
      <c r="AU13" s="127">
        <v>0</v>
      </c>
      <c r="AV13" s="127">
        <v>0</v>
      </c>
      <c r="AW13" s="127">
        <v>0</v>
      </c>
      <c r="AX13" s="127">
        <v>0</v>
      </c>
      <c r="AY13" s="127">
        <v>0</v>
      </c>
      <c r="AZ13" s="127">
        <v>0</v>
      </c>
      <c r="BA13" s="127">
        <v>0</v>
      </c>
      <c r="BB13" s="127">
        <v>0</v>
      </c>
      <c r="BC13" s="127">
        <v>0</v>
      </c>
      <c r="BD13" s="127">
        <v>0</v>
      </c>
      <c r="BE13" s="127">
        <v>0</v>
      </c>
      <c r="BF13" s="127">
        <v>0</v>
      </c>
      <c r="BG13" s="127">
        <v>0</v>
      </c>
      <c r="BH13" s="127">
        <v>0</v>
      </c>
      <c r="BI13" s="127">
        <v>0</v>
      </c>
      <c r="BJ13" s="127">
        <v>0</v>
      </c>
      <c r="BK13" s="127">
        <v>0</v>
      </c>
      <c r="BL13" s="127">
        <v>0</v>
      </c>
      <c r="BM13" s="127">
        <v>0</v>
      </c>
      <c r="BN13" s="127">
        <v>0</v>
      </c>
      <c r="BO13" s="127">
        <v>0</v>
      </c>
      <c r="BP13" s="127">
        <v>0</v>
      </c>
      <c r="BQ13" s="127">
        <v>0</v>
      </c>
      <c r="BR13" s="127">
        <v>0</v>
      </c>
      <c r="BS13" s="127">
        <v>0</v>
      </c>
      <c r="BT13" s="127">
        <v>0</v>
      </c>
      <c r="BU13" s="127">
        <v>0</v>
      </c>
      <c r="BV13" s="127">
        <v>0</v>
      </c>
      <c r="BW13" s="127">
        <v>0</v>
      </c>
      <c r="BX13" s="127">
        <v>0</v>
      </c>
      <c r="BY13" s="127">
        <v>0</v>
      </c>
      <c r="BZ13" s="127">
        <v>0</v>
      </c>
      <c r="CA13" s="127">
        <v>0</v>
      </c>
      <c r="CD13" s="127">
        <v>0</v>
      </c>
      <c r="CF13" s="127">
        <v>0</v>
      </c>
      <c r="CG13" s="127">
        <v>0</v>
      </c>
      <c r="CH13" s="127">
        <v>0</v>
      </c>
      <c r="CI13" s="127">
        <v>0</v>
      </c>
      <c r="CJ13" s="127">
        <v>0</v>
      </c>
      <c r="CK13" s="127">
        <v>0</v>
      </c>
    </row>
    <row r="14" spans="1:89" s="132" customFormat="1" x14ac:dyDescent="0.25">
      <c r="A14" s="417" t="s">
        <v>509</v>
      </c>
      <c r="B14" s="132" t="s">
        <v>514</v>
      </c>
      <c r="C14" s="132">
        <v>3080769.230769231</v>
      </c>
      <c r="D14" s="132">
        <v>2652884.6153846155</v>
      </c>
      <c r="E14" s="132">
        <v>2824038.4615384615</v>
      </c>
      <c r="F14" s="132">
        <v>4450000</v>
      </c>
      <c r="G14" s="132">
        <v>4450000</v>
      </c>
      <c r="H14" s="132">
        <v>4364423.076923077</v>
      </c>
      <c r="I14" s="132">
        <v>4364423.076923077</v>
      </c>
      <c r="J14" s="132">
        <v>4107692.307692308</v>
      </c>
      <c r="K14" s="132">
        <v>4450000</v>
      </c>
      <c r="L14" s="132">
        <v>4450000</v>
      </c>
      <c r="M14" s="132">
        <v>4450000</v>
      </c>
      <c r="N14" s="132">
        <v>4107692.307692308</v>
      </c>
      <c r="O14" s="132">
        <v>4278846.153846154</v>
      </c>
      <c r="P14" s="132">
        <v>3423076.923076923</v>
      </c>
      <c r="Q14" s="132">
        <v>4450000</v>
      </c>
      <c r="R14" s="132">
        <v>3679807.6923076925</v>
      </c>
      <c r="S14" s="132">
        <v>4022115.3846153845</v>
      </c>
      <c r="T14" s="132">
        <v>4107692.307692308</v>
      </c>
      <c r="U14" s="132">
        <v>3936538.4615384615</v>
      </c>
      <c r="V14" s="132">
        <v>4107692.307692308</v>
      </c>
      <c r="W14" s="132">
        <v>2396153.846153846</v>
      </c>
      <c r="X14" s="132">
        <v>2396153.846153846</v>
      </c>
      <c r="Y14" s="132">
        <v>2053846.153846154</v>
      </c>
      <c r="Z14" s="132">
        <v>2053846.153846154</v>
      </c>
      <c r="AA14" s="132">
        <v>2053846.153846154</v>
      </c>
      <c r="AB14" s="132">
        <v>1540384.6153846155</v>
      </c>
      <c r="AC14" s="132">
        <v>1369230.7692307692</v>
      </c>
      <c r="AD14" s="132">
        <v>1369230.7692307692</v>
      </c>
      <c r="AE14" s="132">
        <v>855769.23076923075</v>
      </c>
      <c r="AF14" s="132">
        <v>1882692.3076923077</v>
      </c>
      <c r="AH14" s="132">
        <v>4663461.538461538</v>
      </c>
      <c r="AI14" s="132">
        <v>4107692.307692308</v>
      </c>
      <c r="AJ14" s="132">
        <v>4278846.153846154</v>
      </c>
      <c r="AK14" s="132">
        <v>4278846.153846154</v>
      </c>
      <c r="AL14" s="132">
        <v>4450000</v>
      </c>
      <c r="AN14" s="132">
        <v>4450000</v>
      </c>
      <c r="AO14" s="132">
        <v>4193269.230769231</v>
      </c>
      <c r="AP14" s="132">
        <v>4450000</v>
      </c>
      <c r="AQ14" s="132">
        <v>4450000</v>
      </c>
      <c r="AR14" s="132">
        <v>4278846.153846154</v>
      </c>
      <c r="AS14" s="132">
        <v>4450000</v>
      </c>
      <c r="AT14" s="132">
        <v>4278846.153846154</v>
      </c>
      <c r="AU14" s="132">
        <v>4450000</v>
      </c>
      <c r="AV14" s="132">
        <v>4450000</v>
      </c>
      <c r="AW14" s="132">
        <v>4278846.153846154</v>
      </c>
      <c r="AX14" s="132">
        <v>4278846.153846154</v>
      </c>
      <c r="AY14" s="132">
        <v>4278846.153846154</v>
      </c>
      <c r="AZ14" s="132">
        <v>2909615.3846153845</v>
      </c>
      <c r="BA14" s="132">
        <v>3765384.6153846155</v>
      </c>
      <c r="BB14" s="132">
        <v>3936538.4615384615</v>
      </c>
      <c r="BC14" s="132">
        <v>4107692.307692308</v>
      </c>
      <c r="BD14" s="132">
        <v>3765384.6153846155</v>
      </c>
      <c r="BE14" s="132">
        <v>3594230.7692307695</v>
      </c>
      <c r="BF14" s="132">
        <v>3423076.923076923</v>
      </c>
      <c r="BG14" s="132">
        <v>3594230.7692307695</v>
      </c>
      <c r="BH14" s="132">
        <v>2909615.3846153845</v>
      </c>
      <c r="BI14" s="132">
        <v>1711538.4615384615</v>
      </c>
      <c r="BJ14" s="132">
        <v>1369230.7692307692</v>
      </c>
      <c r="BK14" s="132">
        <v>3423076.923076923</v>
      </c>
      <c r="BL14" s="132">
        <v>3423076.923076923</v>
      </c>
      <c r="BM14" s="132">
        <v>3251923.076923077</v>
      </c>
      <c r="BN14" s="132">
        <v>1540384.6153846155</v>
      </c>
      <c r="BO14" s="132">
        <v>1711538.4615384615</v>
      </c>
      <c r="BP14" s="132">
        <v>3423076.923076923</v>
      </c>
      <c r="BQ14" s="132">
        <v>1540384.6153846155</v>
      </c>
      <c r="BR14" s="132">
        <v>1540384.6153846155</v>
      </c>
      <c r="BS14" s="132">
        <v>1369230.7692307692</v>
      </c>
      <c r="BT14" s="132">
        <v>1198076.923076923</v>
      </c>
      <c r="BU14" s="132">
        <v>1711538.4615384615</v>
      </c>
      <c r="BV14" s="132">
        <v>855769.23076923075</v>
      </c>
      <c r="BW14" s="132">
        <v>513461.5384615385</v>
      </c>
      <c r="BX14" s="132">
        <v>513461.5384615385</v>
      </c>
      <c r="BY14" s="132">
        <v>513461.5384615385</v>
      </c>
      <c r="BZ14" s="132">
        <v>855769.23076923075</v>
      </c>
      <c r="CA14" s="132">
        <v>855769.23076923075</v>
      </c>
      <c r="CB14" s="132">
        <v>0</v>
      </c>
      <c r="CC14" s="132">
        <v>0</v>
      </c>
      <c r="CD14" s="132">
        <v>855769.23076923075</v>
      </c>
      <c r="CF14" s="132">
        <v>4450000</v>
      </c>
      <c r="CG14" s="132">
        <v>4450000</v>
      </c>
      <c r="CH14" s="132">
        <v>4450000</v>
      </c>
      <c r="CI14" s="132">
        <v>4150000</v>
      </c>
      <c r="CJ14" s="132">
        <v>3990384.6153846155</v>
      </c>
      <c r="CK14" s="132">
        <v>2633653.8461538465</v>
      </c>
    </row>
    <row r="15" spans="1:89" s="132" customFormat="1" x14ac:dyDescent="0.25">
      <c r="A15" s="423"/>
      <c r="B15" s="132" t="s">
        <v>531</v>
      </c>
      <c r="C15" s="132">
        <v>1765024.0384615385</v>
      </c>
      <c r="D15" s="132">
        <v>1010877.4038461539</v>
      </c>
      <c r="E15" s="132">
        <v>1042968.75</v>
      </c>
      <c r="F15" s="132">
        <v>2878593.75</v>
      </c>
      <c r="G15" s="132">
        <v>2140492.788461539</v>
      </c>
      <c r="H15" s="132">
        <v>2679627.403846154</v>
      </c>
      <c r="I15" s="132">
        <v>2615444.7115384615</v>
      </c>
      <c r="J15" s="132">
        <v>754146.63461538462</v>
      </c>
      <c r="K15" s="132">
        <v>1668750</v>
      </c>
      <c r="L15" s="132">
        <v>2631490.3846153845</v>
      </c>
      <c r="M15" s="132">
        <v>2743810.096153846</v>
      </c>
      <c r="N15" s="132">
        <v>738100.9615384615</v>
      </c>
      <c r="O15" s="132">
        <v>1588521.6346153845</v>
      </c>
      <c r="P15" s="132">
        <v>1235516.826923077</v>
      </c>
      <c r="Q15" s="132">
        <v>2743810.096153846</v>
      </c>
      <c r="R15" s="132">
        <v>2005709.1346153845</v>
      </c>
      <c r="S15" s="132">
        <v>2085937.5</v>
      </c>
      <c r="T15" s="132">
        <v>2166165.8653846155</v>
      </c>
      <c r="U15" s="132">
        <v>2535216.346153846</v>
      </c>
      <c r="V15" s="132">
        <v>2230348.557692308</v>
      </c>
      <c r="W15" s="132">
        <v>930649.0384615385</v>
      </c>
      <c r="X15" s="132">
        <v>1123197.1153846153</v>
      </c>
      <c r="Y15" s="132">
        <v>401141.82692307694</v>
      </c>
      <c r="Z15" s="132">
        <v>657872.59615384613</v>
      </c>
      <c r="AA15" s="132">
        <v>722055.2884615385</v>
      </c>
      <c r="AB15" s="132">
        <v>336959.13461538462</v>
      </c>
      <c r="AC15" s="132">
        <v>802283.65384615387</v>
      </c>
      <c r="AD15" s="132">
        <v>802283.65384615387</v>
      </c>
      <c r="AE15" s="132">
        <v>465324.51923076925</v>
      </c>
      <c r="AF15" s="132">
        <v>0</v>
      </c>
      <c r="AH15" s="132">
        <v>1958653.846153846</v>
      </c>
      <c r="AI15" s="132">
        <v>1620612.9807692305</v>
      </c>
      <c r="AJ15" s="132">
        <v>1482620.1923076925</v>
      </c>
      <c r="AK15" s="132">
        <v>1652704.326923077</v>
      </c>
      <c r="AL15" s="132">
        <v>2246394.2307692305</v>
      </c>
      <c r="AN15" s="132">
        <v>3353545.673076923</v>
      </c>
      <c r="AO15" s="132">
        <v>3032632.2115384615</v>
      </c>
      <c r="AP15" s="132">
        <v>3209134.6153846155</v>
      </c>
      <c r="AQ15" s="132">
        <v>1620612.9807692305</v>
      </c>
      <c r="AR15" s="132">
        <v>2840084.1346153845</v>
      </c>
      <c r="AS15" s="132">
        <v>2567307.692307692</v>
      </c>
      <c r="AT15" s="132">
        <v>2166165.8653846155</v>
      </c>
      <c r="AU15" s="132">
        <v>2310576.923076923</v>
      </c>
      <c r="AV15" s="132">
        <v>2101983.173076923</v>
      </c>
      <c r="AW15" s="132">
        <v>2069891.826923077</v>
      </c>
      <c r="AX15" s="132">
        <v>160456.73076923075</v>
      </c>
      <c r="AY15" s="132">
        <v>2679627.403846154</v>
      </c>
      <c r="AZ15" s="132">
        <v>1620612.9807692305</v>
      </c>
      <c r="BA15" s="132">
        <v>1588521.6346153845</v>
      </c>
      <c r="BB15" s="132">
        <v>2807992.7884615385</v>
      </c>
      <c r="BC15" s="132">
        <v>2647536.057692308</v>
      </c>
      <c r="BD15" s="132">
        <v>2567307.692307692</v>
      </c>
      <c r="BE15" s="132">
        <v>2519170.673076923</v>
      </c>
      <c r="BF15" s="132">
        <v>2294531.25</v>
      </c>
      <c r="BG15" s="132">
        <v>2631490.3846153845</v>
      </c>
      <c r="BH15" s="132">
        <v>1524338.9423076923</v>
      </c>
      <c r="BI15" s="132">
        <v>417187.5</v>
      </c>
      <c r="BJ15" s="132">
        <v>0</v>
      </c>
      <c r="BK15" s="132">
        <v>1813161.0576923077</v>
      </c>
      <c r="BL15" s="132">
        <v>1973617.7884615385</v>
      </c>
      <c r="BM15" s="132">
        <v>1765024.0384615385</v>
      </c>
      <c r="BN15" s="132">
        <v>385096.15384615387</v>
      </c>
      <c r="BO15" s="132">
        <v>288822.11538461538</v>
      </c>
      <c r="BP15" s="132">
        <v>1444110.576923077</v>
      </c>
      <c r="BQ15" s="132">
        <v>882512.01923076925</v>
      </c>
      <c r="BR15" s="132">
        <v>914603.36538461526</v>
      </c>
      <c r="BS15" s="132">
        <v>369050.48076923075</v>
      </c>
      <c r="BT15" s="132">
        <v>609735.57692307699</v>
      </c>
      <c r="BU15" s="132">
        <v>914603.36538461526</v>
      </c>
      <c r="BV15" s="132">
        <v>561598.55769230763</v>
      </c>
      <c r="BW15" s="132">
        <v>224639.42307692306</v>
      </c>
      <c r="BX15" s="132">
        <v>320913.4615384615</v>
      </c>
      <c r="BY15" s="132">
        <v>320913.4615384615</v>
      </c>
      <c r="BZ15" s="132">
        <v>545552.88461538462</v>
      </c>
      <c r="CA15" s="132">
        <v>160456.73076923075</v>
      </c>
      <c r="CB15" s="132">
        <v>0</v>
      </c>
      <c r="CC15" s="132">
        <v>0</v>
      </c>
      <c r="CD15" s="132">
        <v>192548.07692307694</v>
      </c>
      <c r="CF15" s="132">
        <v>144411.05769230769</v>
      </c>
      <c r="CG15" s="132">
        <v>577644.23076923075</v>
      </c>
      <c r="CH15" s="132">
        <v>497415.86538461538</v>
      </c>
      <c r="CI15" s="132">
        <v>89783.653846153844</v>
      </c>
      <c r="CJ15" s="132">
        <v>0</v>
      </c>
      <c r="CK15" s="132">
        <v>448918.26923076925</v>
      </c>
    </row>
    <row r="16" spans="1:89" s="132" customFormat="1" x14ac:dyDescent="0.25">
      <c r="A16" s="423"/>
      <c r="B16" s="132" t="s">
        <v>530</v>
      </c>
      <c r="C16" s="132">
        <v>88572.115384615376</v>
      </c>
      <c r="D16" s="132">
        <v>57764.423076923085</v>
      </c>
      <c r="E16" s="132">
        <v>0</v>
      </c>
      <c r="F16" s="132">
        <v>107826.92307692306</v>
      </c>
      <c r="G16" s="132">
        <v>19254.807692307691</v>
      </c>
      <c r="H16" s="132">
        <v>0</v>
      </c>
      <c r="I16" s="132">
        <v>0</v>
      </c>
      <c r="J16" s="132">
        <v>0</v>
      </c>
      <c r="K16" s="132">
        <v>57764.423076923085</v>
      </c>
      <c r="L16" s="132">
        <v>57764.423076923085</v>
      </c>
      <c r="M16" s="132">
        <v>57764.423076923085</v>
      </c>
      <c r="N16" s="132">
        <v>0</v>
      </c>
      <c r="O16" s="132">
        <v>0</v>
      </c>
      <c r="P16" s="132">
        <v>0</v>
      </c>
      <c r="Q16" s="132">
        <v>77019.230769230766</v>
      </c>
      <c r="R16" s="132">
        <v>77019.230769230766</v>
      </c>
      <c r="S16" s="132">
        <v>77019.230769230766</v>
      </c>
      <c r="T16" s="132">
        <v>57764.423076923085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  <c r="Z16" s="132">
        <v>0</v>
      </c>
      <c r="AA16" s="132">
        <v>0</v>
      </c>
      <c r="AB16" s="132">
        <v>0</v>
      </c>
      <c r="AC16" s="132">
        <v>0</v>
      </c>
      <c r="AD16" s="132">
        <v>0</v>
      </c>
      <c r="AE16" s="132">
        <v>0</v>
      </c>
      <c r="AF16" s="132">
        <v>0</v>
      </c>
      <c r="AH16" s="132">
        <v>965336.53846153838</v>
      </c>
      <c r="AI16" s="132">
        <v>770192.30769230775</v>
      </c>
      <c r="AJ16" s="132">
        <v>231057.69230769234</v>
      </c>
      <c r="AK16" s="132">
        <v>750937.5</v>
      </c>
      <c r="AL16" s="132">
        <v>904975.9615384615</v>
      </c>
      <c r="AN16" s="132">
        <v>308076.92307692306</v>
      </c>
      <c r="AO16" s="132">
        <v>462115.38461538468</v>
      </c>
      <c r="AP16" s="132">
        <v>192548.07692307694</v>
      </c>
      <c r="AQ16" s="132">
        <v>0</v>
      </c>
      <c r="AR16" s="132">
        <v>192548.07692307694</v>
      </c>
      <c r="AS16" s="132">
        <v>173293.26923076925</v>
      </c>
      <c r="AT16" s="132">
        <v>19254.807692307691</v>
      </c>
      <c r="AU16" s="132">
        <v>19254.807692307691</v>
      </c>
      <c r="AV16" s="132">
        <v>0</v>
      </c>
      <c r="AW16" s="132">
        <v>0</v>
      </c>
      <c r="AX16" s="132">
        <v>0</v>
      </c>
      <c r="AY16" s="132">
        <v>115528.84615384617</v>
      </c>
      <c r="AZ16" s="132">
        <v>38509.615384615383</v>
      </c>
      <c r="BA16" s="132">
        <v>0</v>
      </c>
      <c r="BB16" s="132">
        <v>134783.65384615384</v>
      </c>
      <c r="BC16" s="132">
        <v>96274.038461538468</v>
      </c>
      <c r="BD16" s="132">
        <v>115528.84615384617</v>
      </c>
      <c r="BE16" s="132">
        <v>134783.65384615384</v>
      </c>
      <c r="BF16" s="132">
        <v>77019.230769230766</v>
      </c>
      <c r="BG16" s="132">
        <v>154038.46153846153</v>
      </c>
      <c r="BH16" s="132">
        <v>19254.807692307691</v>
      </c>
      <c r="BI16" s="132">
        <v>0</v>
      </c>
      <c r="BJ16" s="132">
        <v>0</v>
      </c>
      <c r="BK16" s="132">
        <v>77019.230769230766</v>
      </c>
      <c r="BL16" s="132">
        <v>96274.038461538468</v>
      </c>
      <c r="BM16" s="132">
        <v>96274.038461538468</v>
      </c>
      <c r="BN16" s="132">
        <v>0</v>
      </c>
      <c r="BO16" s="132">
        <v>115528.84615384617</v>
      </c>
      <c r="BP16" s="132">
        <v>115528.84615384617</v>
      </c>
      <c r="BQ16" s="132">
        <v>0</v>
      </c>
      <c r="BR16" s="132">
        <v>0</v>
      </c>
      <c r="BS16" s="132">
        <v>0</v>
      </c>
      <c r="BT16" s="132">
        <v>0</v>
      </c>
      <c r="BU16" s="132">
        <v>0</v>
      </c>
      <c r="BV16" s="132">
        <v>0</v>
      </c>
      <c r="BW16" s="132">
        <v>0</v>
      </c>
      <c r="BX16" s="132">
        <v>0</v>
      </c>
      <c r="BY16" s="132">
        <v>0</v>
      </c>
      <c r="BZ16" s="132">
        <v>0</v>
      </c>
      <c r="CA16" s="132">
        <v>0</v>
      </c>
      <c r="CB16" s="132">
        <v>0</v>
      </c>
      <c r="CC16" s="132">
        <v>0</v>
      </c>
      <c r="CD16" s="132">
        <v>0</v>
      </c>
      <c r="CF16" s="132">
        <v>0</v>
      </c>
      <c r="CG16" s="132">
        <v>0</v>
      </c>
      <c r="CH16" s="132">
        <v>0</v>
      </c>
      <c r="CI16" s="132">
        <v>0</v>
      </c>
      <c r="CJ16" s="132">
        <v>0</v>
      </c>
      <c r="CK16" s="132">
        <v>0</v>
      </c>
    </row>
    <row r="17" spans="1:89" s="132" customFormat="1" x14ac:dyDescent="0.25">
      <c r="A17" s="418"/>
      <c r="B17" s="132" t="s">
        <v>529</v>
      </c>
      <c r="C17" s="132">
        <v>427884.61538461538</v>
      </c>
      <c r="D17" s="132">
        <v>427884.61538461538</v>
      </c>
      <c r="E17" s="132">
        <v>0</v>
      </c>
      <c r="F17" s="132">
        <v>1548942.3076923077</v>
      </c>
      <c r="G17" s="132">
        <v>0</v>
      </c>
      <c r="H17" s="132">
        <v>1732932.6923076923</v>
      </c>
      <c r="I17" s="132">
        <v>1732932.6923076923</v>
      </c>
      <c r="J17" s="132">
        <v>577644.23076923075</v>
      </c>
      <c r="K17" s="132">
        <v>0</v>
      </c>
      <c r="L17" s="132">
        <v>1005528.8461538461</v>
      </c>
      <c r="M17" s="132">
        <v>1005528.8461538461</v>
      </c>
      <c r="N17" s="132">
        <v>342307.69230769231</v>
      </c>
      <c r="O17" s="132">
        <v>599038.4615384615</v>
      </c>
      <c r="P17" s="132">
        <v>363701.92307692306</v>
      </c>
      <c r="Q17" s="132">
        <v>363701.92307692306</v>
      </c>
      <c r="R17" s="132">
        <v>363701.92307692306</v>
      </c>
      <c r="S17" s="132">
        <v>0</v>
      </c>
      <c r="T17" s="132">
        <v>0</v>
      </c>
      <c r="U17" s="132">
        <v>1390625</v>
      </c>
      <c r="V17" s="132">
        <v>0</v>
      </c>
      <c r="W17" s="132">
        <v>684615.38461538462</v>
      </c>
      <c r="X17" s="132">
        <v>0</v>
      </c>
      <c r="Y17" s="132">
        <v>342307.69230769231</v>
      </c>
      <c r="Z17" s="132">
        <v>0</v>
      </c>
      <c r="AA17" s="132">
        <v>0</v>
      </c>
      <c r="AB17" s="132">
        <v>0</v>
      </c>
      <c r="AC17" s="132">
        <v>0</v>
      </c>
      <c r="AD17" s="132">
        <v>0</v>
      </c>
      <c r="AE17" s="132">
        <v>342307.69230769231</v>
      </c>
      <c r="AF17" s="132">
        <v>0</v>
      </c>
      <c r="AH17" s="132">
        <v>886057.69230769225</v>
      </c>
      <c r="AI17" s="132">
        <v>1091105.7692307692</v>
      </c>
      <c r="AJ17" s="132">
        <v>1005528.8461538461</v>
      </c>
      <c r="AK17" s="132">
        <v>1091105.7692307692</v>
      </c>
      <c r="AL17" s="132">
        <v>1476201.923076923</v>
      </c>
      <c r="AN17" s="132">
        <v>1882692.3076923077</v>
      </c>
      <c r="AO17" s="132">
        <v>1262259.6153846155</v>
      </c>
      <c r="AP17" s="132">
        <v>1839903.8461538462</v>
      </c>
      <c r="AQ17" s="132">
        <v>0</v>
      </c>
      <c r="AR17" s="132">
        <v>1326442.3076923077</v>
      </c>
      <c r="AS17" s="132">
        <v>919951.92307692312</v>
      </c>
      <c r="AT17" s="132">
        <v>1198076.923076923</v>
      </c>
      <c r="AU17" s="132">
        <v>1262259.6153846155</v>
      </c>
      <c r="AV17" s="132">
        <v>0</v>
      </c>
      <c r="AW17" s="132">
        <v>235336.53846153847</v>
      </c>
      <c r="AX17" s="132">
        <v>0</v>
      </c>
      <c r="AY17" s="132">
        <v>727403.84615384613</v>
      </c>
      <c r="AZ17" s="132">
        <v>727403.84615384613</v>
      </c>
      <c r="BA17" s="132">
        <v>0</v>
      </c>
      <c r="BB17" s="132">
        <v>1369230.7692307692</v>
      </c>
      <c r="BC17" s="132">
        <v>1369230.7692307692</v>
      </c>
      <c r="BD17" s="132">
        <v>1091105.7692307692</v>
      </c>
      <c r="BE17" s="132">
        <v>1518990.3846153847</v>
      </c>
      <c r="BF17" s="132">
        <v>1433413.4615384615</v>
      </c>
      <c r="BG17" s="132">
        <v>1518990.3846153847</v>
      </c>
      <c r="BH17" s="132">
        <v>1476201.923076923</v>
      </c>
      <c r="BI17" s="132">
        <v>385096.15384615387</v>
      </c>
      <c r="BJ17" s="132">
        <v>0</v>
      </c>
      <c r="BK17" s="132">
        <v>684615.38461538462</v>
      </c>
      <c r="BL17" s="132">
        <v>0</v>
      </c>
      <c r="BM17" s="132">
        <v>342307.69230769231</v>
      </c>
      <c r="BN17" s="132">
        <v>0</v>
      </c>
      <c r="BO17" s="132">
        <v>342307.69230769231</v>
      </c>
      <c r="BP17" s="132">
        <v>0</v>
      </c>
      <c r="BQ17" s="132">
        <v>0</v>
      </c>
      <c r="BR17" s="132">
        <v>342307.69230769231</v>
      </c>
      <c r="BS17" s="132">
        <v>0</v>
      </c>
      <c r="BT17" s="132">
        <v>684615.38461538462</v>
      </c>
      <c r="BU17" s="132">
        <v>342307.69230769231</v>
      </c>
      <c r="BV17" s="132">
        <v>342307.69230769231</v>
      </c>
      <c r="BW17" s="132">
        <v>0</v>
      </c>
      <c r="BX17" s="132">
        <v>342307.69230769231</v>
      </c>
      <c r="BY17" s="132">
        <v>342307.69230769231</v>
      </c>
      <c r="BZ17" s="132">
        <v>0</v>
      </c>
      <c r="CA17" s="132">
        <v>0</v>
      </c>
      <c r="CB17" s="132">
        <v>0</v>
      </c>
      <c r="CC17" s="132">
        <v>0</v>
      </c>
      <c r="CD17" s="132">
        <v>0</v>
      </c>
      <c r="CF17" s="132">
        <v>941346.15384615387</v>
      </c>
      <c r="CG17" s="132">
        <v>1069711.5384615385</v>
      </c>
      <c r="CH17" s="132">
        <v>342307.69230769231</v>
      </c>
      <c r="CI17" s="132">
        <v>997596.15384615387</v>
      </c>
      <c r="CJ17" s="132">
        <v>0</v>
      </c>
      <c r="CK17" s="132">
        <v>319230.76923076925</v>
      </c>
    </row>
    <row r="18" spans="1:89" s="132" customFormat="1" x14ac:dyDescent="0.25">
      <c r="A18" s="417" t="s">
        <v>532</v>
      </c>
      <c r="B18" s="132" t="s">
        <v>195</v>
      </c>
      <c r="C18" s="132">
        <v>346153.84615384613</v>
      </c>
      <c r="D18" s="132">
        <v>298076.92307692306</v>
      </c>
      <c r="E18" s="132">
        <v>317307.69230769231</v>
      </c>
      <c r="F18" s="132">
        <v>500000</v>
      </c>
      <c r="G18" s="132">
        <v>500000</v>
      </c>
      <c r="H18" s="132">
        <v>490384.61538461538</v>
      </c>
      <c r="I18" s="132">
        <v>490384.61538461538</v>
      </c>
      <c r="J18" s="132">
        <v>461538.4615384615</v>
      </c>
      <c r="K18" s="132">
        <v>500000</v>
      </c>
      <c r="L18" s="132">
        <v>500000</v>
      </c>
      <c r="M18" s="132">
        <v>500000</v>
      </c>
      <c r="N18" s="132">
        <v>461538.4615384615</v>
      </c>
      <c r="O18" s="132">
        <v>480769.23076923075</v>
      </c>
      <c r="P18" s="132">
        <v>384615.38461538462</v>
      </c>
      <c r="Q18" s="132">
        <v>500000</v>
      </c>
      <c r="R18" s="132">
        <v>413461.53846153844</v>
      </c>
      <c r="S18" s="132">
        <v>451923.07692307694</v>
      </c>
      <c r="T18" s="132">
        <v>461538.4615384615</v>
      </c>
      <c r="U18" s="132">
        <v>442307.69230769231</v>
      </c>
      <c r="V18" s="132">
        <v>461538.4615384615</v>
      </c>
      <c r="W18" s="132">
        <v>269230.76923076925</v>
      </c>
      <c r="X18" s="132">
        <v>269230.76923076925</v>
      </c>
      <c r="Y18" s="132">
        <v>230769.23076923075</v>
      </c>
      <c r="Z18" s="132">
        <v>230769.23076923075</v>
      </c>
      <c r="AA18" s="132">
        <v>230769.23076923075</v>
      </c>
      <c r="AB18" s="132">
        <v>173076.92307692306</v>
      </c>
      <c r="AC18" s="132">
        <v>153846.15384615384</v>
      </c>
      <c r="AD18" s="132">
        <v>153846.15384615384</v>
      </c>
      <c r="AE18" s="132">
        <v>96153.846153846156</v>
      </c>
      <c r="AF18" s="132">
        <v>211538.46153846153</v>
      </c>
      <c r="AH18" s="132">
        <v>0</v>
      </c>
      <c r="AI18" s="132">
        <v>461538.4615384615</v>
      </c>
      <c r="AJ18" s="132">
        <v>480769.23076923075</v>
      </c>
      <c r="AK18" s="132">
        <v>480769.23076923075</v>
      </c>
      <c r="AL18" s="132">
        <v>500000</v>
      </c>
      <c r="AN18" s="132">
        <v>500000</v>
      </c>
      <c r="AO18" s="132">
        <v>0</v>
      </c>
      <c r="AP18" s="132">
        <v>500000</v>
      </c>
      <c r="AQ18" s="132">
        <v>500000</v>
      </c>
      <c r="AR18" s="132">
        <v>480769.23076923075</v>
      </c>
      <c r="AS18" s="132">
        <v>500000</v>
      </c>
      <c r="AT18" s="132">
        <v>480769.23076923075</v>
      </c>
      <c r="AU18" s="132">
        <v>500000</v>
      </c>
      <c r="AV18" s="132">
        <v>500000</v>
      </c>
      <c r="AW18" s="132">
        <v>480769.23076923075</v>
      </c>
      <c r="AX18" s="132">
        <v>480769.23076923075</v>
      </c>
      <c r="AY18" s="132">
        <v>480769.23076923075</v>
      </c>
      <c r="AZ18" s="132">
        <v>326923.07692307694</v>
      </c>
      <c r="BA18" s="132">
        <v>423076.92307692306</v>
      </c>
      <c r="BB18" s="132">
        <v>442307.69230769231</v>
      </c>
      <c r="BC18" s="132">
        <v>461538.4615384615</v>
      </c>
      <c r="BD18" s="132">
        <v>423076.92307692306</v>
      </c>
      <c r="BE18" s="132">
        <v>403846.15384615381</v>
      </c>
      <c r="BF18" s="132">
        <v>384615.38461538462</v>
      </c>
      <c r="BG18" s="132">
        <v>403846.15384615381</v>
      </c>
      <c r="BH18" s="132">
        <v>326923.07692307694</v>
      </c>
      <c r="BI18" s="132">
        <v>192307.69230769231</v>
      </c>
      <c r="BJ18" s="132">
        <v>153846.15384615384</v>
      </c>
      <c r="BK18" s="132">
        <v>384615.38461538462</v>
      </c>
      <c r="BL18" s="132">
        <v>384615.38461538462</v>
      </c>
      <c r="BM18" s="132">
        <v>365384.61538461538</v>
      </c>
      <c r="BN18" s="132">
        <v>173076.92307692306</v>
      </c>
      <c r="BO18" s="132">
        <v>192307.69230769231</v>
      </c>
      <c r="BP18" s="132">
        <v>384615.38461538462</v>
      </c>
      <c r="BQ18" s="132">
        <v>173076.92307692306</v>
      </c>
      <c r="BR18" s="132">
        <v>173076.92307692306</v>
      </c>
      <c r="BS18" s="132">
        <v>153846.15384615384</v>
      </c>
      <c r="BT18" s="132">
        <v>134615.38461538462</v>
      </c>
      <c r="BU18" s="132">
        <v>192307.69230769231</v>
      </c>
      <c r="BV18" s="132">
        <v>96153.846153846156</v>
      </c>
      <c r="BW18" s="132">
        <v>57692.307692307688</v>
      </c>
      <c r="BX18" s="132">
        <v>57692.307692307688</v>
      </c>
      <c r="BY18" s="132">
        <v>57692.307692307688</v>
      </c>
      <c r="BZ18" s="132">
        <v>96153.846153846156</v>
      </c>
      <c r="CA18" s="132">
        <v>96153.846153846156</v>
      </c>
      <c r="CB18" s="132">
        <v>0</v>
      </c>
      <c r="CC18" s="132">
        <v>0</v>
      </c>
      <c r="CD18" s="132">
        <v>96153.846153846156</v>
      </c>
      <c r="CF18" s="132">
        <v>500000</v>
      </c>
      <c r="CG18" s="132">
        <v>500000</v>
      </c>
      <c r="CH18" s="132">
        <v>500000</v>
      </c>
      <c r="CI18" s="132">
        <v>500000</v>
      </c>
      <c r="CJ18" s="132">
        <v>480769.23076923075</v>
      </c>
      <c r="CK18" s="132">
        <v>317307.69230769231</v>
      </c>
    </row>
    <row r="19" spans="1:89" s="132" customFormat="1" x14ac:dyDescent="0.25">
      <c r="A19" s="423"/>
      <c r="B19" s="132" t="s">
        <v>194</v>
      </c>
      <c r="C19" s="132">
        <v>173076.92307692306</v>
      </c>
      <c r="D19" s="132">
        <v>149038.46153846153</v>
      </c>
      <c r="E19" s="132">
        <v>158653.84615384616</v>
      </c>
      <c r="F19" s="132">
        <v>250000</v>
      </c>
      <c r="G19" s="132">
        <v>250000</v>
      </c>
      <c r="H19" s="132">
        <v>245192.30769230769</v>
      </c>
      <c r="I19" s="132">
        <v>245192.30769230769</v>
      </c>
      <c r="J19" s="132">
        <v>230769.23076923075</v>
      </c>
      <c r="K19" s="132">
        <v>250000</v>
      </c>
      <c r="L19" s="132">
        <v>250000</v>
      </c>
      <c r="M19" s="132">
        <v>250000</v>
      </c>
      <c r="N19" s="132">
        <v>230769.23076923075</v>
      </c>
      <c r="O19" s="132">
        <v>240384.61538461538</v>
      </c>
      <c r="P19" s="132">
        <v>192307.69230769231</v>
      </c>
      <c r="Q19" s="132">
        <v>250000</v>
      </c>
      <c r="R19" s="132">
        <v>206730.76923076922</v>
      </c>
      <c r="S19" s="132">
        <v>225961.53846153847</v>
      </c>
      <c r="T19" s="132">
        <v>230769.23076923075</v>
      </c>
      <c r="U19" s="132">
        <v>221153.84615384616</v>
      </c>
      <c r="V19" s="132">
        <v>230769.23076923075</v>
      </c>
      <c r="W19" s="132">
        <v>134615.38461538462</v>
      </c>
      <c r="X19" s="132">
        <v>134615.38461538462</v>
      </c>
      <c r="Y19" s="132">
        <v>115384.61538461538</v>
      </c>
      <c r="Z19" s="132">
        <v>115384.61538461538</v>
      </c>
      <c r="AA19" s="132">
        <v>115384.61538461538</v>
      </c>
      <c r="AB19" s="132">
        <v>86538.461538461532</v>
      </c>
      <c r="AC19" s="132">
        <v>76923.076923076922</v>
      </c>
      <c r="AD19" s="132">
        <v>76923.076923076922</v>
      </c>
      <c r="AE19" s="132">
        <v>48076.923076923078</v>
      </c>
      <c r="AF19" s="132">
        <v>105769.23076923077</v>
      </c>
      <c r="AH19" s="132">
        <v>240384.61538461538</v>
      </c>
      <c r="AI19" s="132">
        <v>230769.23076923075</v>
      </c>
      <c r="AJ19" s="132">
        <v>240384.61538461538</v>
      </c>
      <c r="AK19" s="132">
        <v>240384.61538461538</v>
      </c>
      <c r="AL19" s="132">
        <v>250000</v>
      </c>
      <c r="AN19" s="132">
        <v>250000</v>
      </c>
      <c r="AO19" s="132">
        <v>235576.92307692306</v>
      </c>
      <c r="AP19" s="132">
        <v>250000</v>
      </c>
      <c r="AQ19" s="132">
        <v>250000</v>
      </c>
      <c r="AR19" s="132">
        <v>240384.61538461538</v>
      </c>
      <c r="AS19" s="132">
        <v>250000</v>
      </c>
      <c r="AT19" s="132">
        <v>240384.61538461538</v>
      </c>
      <c r="AU19" s="132">
        <v>250000</v>
      </c>
      <c r="AV19" s="132">
        <v>250000</v>
      </c>
      <c r="AW19" s="132">
        <v>240384.61538461538</v>
      </c>
      <c r="AX19" s="132">
        <v>240384.61538461538</v>
      </c>
      <c r="AY19" s="132">
        <v>240384.61538461538</v>
      </c>
      <c r="AZ19" s="132">
        <v>163461.53846153847</v>
      </c>
      <c r="BA19" s="132">
        <v>211538.46153846153</v>
      </c>
      <c r="BB19" s="132">
        <v>221153.84615384616</v>
      </c>
      <c r="BC19" s="132">
        <v>230769.23076923075</v>
      </c>
      <c r="BD19" s="132">
        <v>211538.46153846153</v>
      </c>
      <c r="BE19" s="132">
        <v>201923.07692307691</v>
      </c>
      <c r="BF19" s="132">
        <v>192307.69230769231</v>
      </c>
      <c r="BG19" s="132">
        <v>201923.07692307691</v>
      </c>
      <c r="BH19" s="132">
        <v>163461.53846153847</v>
      </c>
      <c r="BI19" s="132">
        <v>96153.846153846156</v>
      </c>
      <c r="BJ19" s="132">
        <v>76923.076923076922</v>
      </c>
      <c r="BK19" s="132">
        <v>192307.69230769231</v>
      </c>
      <c r="BL19" s="132">
        <v>192307.69230769231</v>
      </c>
      <c r="BM19" s="132">
        <v>182692.30769230769</v>
      </c>
      <c r="BN19" s="132">
        <v>86538.461538461532</v>
      </c>
      <c r="BO19" s="132">
        <v>96153.846153846156</v>
      </c>
      <c r="BP19" s="132">
        <v>192307.69230769231</v>
      </c>
      <c r="BQ19" s="132">
        <v>86538.461538461532</v>
      </c>
      <c r="BR19" s="132">
        <v>86538.461538461532</v>
      </c>
      <c r="BS19" s="132">
        <v>76923.076923076922</v>
      </c>
      <c r="BT19" s="132">
        <v>67307.692307692312</v>
      </c>
      <c r="BU19" s="132">
        <v>96153.846153846156</v>
      </c>
      <c r="BV19" s="132">
        <v>48076.923076923078</v>
      </c>
      <c r="BW19" s="132">
        <v>28846.153846153844</v>
      </c>
      <c r="BX19" s="132">
        <v>28846.153846153844</v>
      </c>
      <c r="BY19" s="132">
        <v>28846.153846153844</v>
      </c>
      <c r="BZ19" s="132">
        <v>48076.923076923078</v>
      </c>
      <c r="CA19" s="132">
        <v>48076.923076923078</v>
      </c>
      <c r="CB19" s="132">
        <v>0</v>
      </c>
      <c r="CC19" s="132">
        <v>0</v>
      </c>
      <c r="CD19" s="132">
        <v>48076.923076923078</v>
      </c>
      <c r="CF19" s="132">
        <v>250000</v>
      </c>
      <c r="CG19" s="132">
        <v>250000</v>
      </c>
      <c r="CH19" s="132">
        <v>250000</v>
      </c>
      <c r="CI19" s="132">
        <v>250000</v>
      </c>
      <c r="CJ19" s="132">
        <v>240384.61538461538</v>
      </c>
      <c r="CK19" s="132">
        <v>158653.84615384616</v>
      </c>
    </row>
    <row r="20" spans="1:89" s="132" customFormat="1" x14ac:dyDescent="0.25">
      <c r="A20" s="423"/>
      <c r="B20" s="132" t="s">
        <v>196</v>
      </c>
      <c r="C20" s="132">
        <v>0</v>
      </c>
      <c r="D20" s="132">
        <v>0</v>
      </c>
      <c r="E20" s="132">
        <v>0</v>
      </c>
      <c r="F20" s="132">
        <v>300000</v>
      </c>
      <c r="G20" s="132">
        <v>300000</v>
      </c>
      <c r="H20" s="132">
        <v>0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132">
        <v>300000</v>
      </c>
      <c r="R20" s="132">
        <v>0</v>
      </c>
      <c r="S20" s="132">
        <v>271153.84615384619</v>
      </c>
      <c r="T20" s="132">
        <v>0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  <c r="Z20" s="132">
        <v>0</v>
      </c>
      <c r="AA20" s="132">
        <v>0</v>
      </c>
      <c r="AB20" s="132">
        <v>0</v>
      </c>
      <c r="AC20" s="132">
        <v>0</v>
      </c>
      <c r="AD20" s="132">
        <v>0</v>
      </c>
      <c r="AE20" s="132">
        <v>0</v>
      </c>
      <c r="AF20" s="132">
        <v>0</v>
      </c>
      <c r="AH20" s="132">
        <v>961538.4615384615</v>
      </c>
      <c r="AI20" s="132">
        <v>923076.92307692301</v>
      </c>
      <c r="AJ20" s="132">
        <v>961538.4615384615</v>
      </c>
      <c r="AK20" s="132">
        <v>961538.4615384615</v>
      </c>
      <c r="AL20" s="132">
        <v>500000</v>
      </c>
      <c r="AN20" s="132">
        <v>500000</v>
      </c>
      <c r="AO20" s="132">
        <v>471153.84615384613</v>
      </c>
      <c r="AP20" s="132">
        <v>300000</v>
      </c>
      <c r="AQ20" s="132">
        <v>300000</v>
      </c>
      <c r="AR20" s="132">
        <v>0</v>
      </c>
      <c r="AS20" s="132">
        <v>0</v>
      </c>
      <c r="AT20" s="132">
        <v>0</v>
      </c>
      <c r="AU20" s="132">
        <v>0</v>
      </c>
      <c r="AV20" s="132">
        <v>0</v>
      </c>
      <c r="AW20" s="132">
        <v>0</v>
      </c>
      <c r="AX20" s="132">
        <v>0</v>
      </c>
      <c r="AY20" s="132">
        <v>0</v>
      </c>
      <c r="AZ20" s="132">
        <v>0</v>
      </c>
      <c r="BA20" s="132">
        <v>0</v>
      </c>
      <c r="BB20" s="132">
        <v>0</v>
      </c>
      <c r="BC20" s="132">
        <v>0</v>
      </c>
      <c r="BD20" s="132">
        <v>0</v>
      </c>
      <c r="BE20" s="132">
        <v>0</v>
      </c>
      <c r="BF20" s="132">
        <v>0</v>
      </c>
      <c r="BG20" s="132">
        <v>0</v>
      </c>
      <c r="BH20" s="132">
        <v>0</v>
      </c>
      <c r="BI20" s="132">
        <v>0</v>
      </c>
      <c r="BJ20" s="132">
        <v>0</v>
      </c>
      <c r="BK20" s="132">
        <v>0</v>
      </c>
      <c r="BL20" s="132">
        <v>0</v>
      </c>
      <c r="BM20" s="132">
        <v>0</v>
      </c>
      <c r="BN20" s="132">
        <v>0</v>
      </c>
      <c r="BO20" s="132">
        <v>0</v>
      </c>
      <c r="BP20" s="132">
        <v>0</v>
      </c>
      <c r="BQ20" s="132">
        <v>0</v>
      </c>
      <c r="BR20" s="132">
        <v>0</v>
      </c>
      <c r="BS20" s="132">
        <v>0</v>
      </c>
      <c r="BT20" s="132">
        <v>0</v>
      </c>
      <c r="BU20" s="132">
        <v>0</v>
      </c>
      <c r="BV20" s="132">
        <v>0</v>
      </c>
      <c r="BW20" s="132">
        <v>0</v>
      </c>
      <c r="BX20" s="132">
        <v>0</v>
      </c>
      <c r="BY20" s="132">
        <v>0</v>
      </c>
      <c r="BZ20" s="132">
        <v>0</v>
      </c>
      <c r="CA20" s="132">
        <v>0</v>
      </c>
      <c r="CB20" s="132">
        <v>0</v>
      </c>
      <c r="CC20" s="132">
        <v>0</v>
      </c>
      <c r="CD20" s="132">
        <v>0</v>
      </c>
      <c r="CF20" s="132">
        <v>300000</v>
      </c>
      <c r="CG20" s="132">
        <v>300000</v>
      </c>
      <c r="CH20" s="132">
        <v>300000</v>
      </c>
      <c r="CI20" s="132">
        <v>0</v>
      </c>
      <c r="CJ20" s="132">
        <v>0</v>
      </c>
      <c r="CK20" s="132">
        <v>0</v>
      </c>
    </row>
    <row r="21" spans="1:89" s="132" customFormat="1" x14ac:dyDescent="0.25">
      <c r="A21" s="423"/>
      <c r="B21" s="132" t="s">
        <v>513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0</v>
      </c>
      <c r="AA21" s="132">
        <v>0</v>
      </c>
      <c r="AB21" s="132">
        <v>0</v>
      </c>
      <c r="AC21" s="132">
        <v>0</v>
      </c>
      <c r="AD21" s="132">
        <v>0</v>
      </c>
      <c r="AE21" s="132">
        <v>0</v>
      </c>
      <c r="AF21" s="132">
        <v>0</v>
      </c>
      <c r="AH21" s="132">
        <v>576923.07692307699</v>
      </c>
      <c r="AI21" s="132">
        <v>0</v>
      </c>
      <c r="AJ21" s="132">
        <v>0</v>
      </c>
      <c r="AK21" s="132">
        <v>0</v>
      </c>
      <c r="AL21" s="132">
        <v>800000</v>
      </c>
      <c r="AN21" s="132">
        <v>1000000</v>
      </c>
      <c r="AO21" s="132">
        <v>471153.84615384613</v>
      </c>
      <c r="AP21" s="132">
        <v>0</v>
      </c>
      <c r="AQ21" s="132">
        <v>0</v>
      </c>
      <c r="AR21" s="132">
        <v>0</v>
      </c>
      <c r="AS21" s="132">
        <v>0</v>
      </c>
      <c r="AT21" s="132">
        <v>0</v>
      </c>
      <c r="AU21" s="132">
        <v>0</v>
      </c>
      <c r="AV21" s="132">
        <v>0</v>
      </c>
      <c r="AW21" s="132">
        <v>0</v>
      </c>
      <c r="AX21" s="132">
        <v>0</v>
      </c>
      <c r="AY21" s="132">
        <v>0</v>
      </c>
      <c r="AZ21" s="132">
        <v>0</v>
      </c>
      <c r="BA21" s="132">
        <v>0</v>
      </c>
      <c r="BB21" s="132">
        <v>0</v>
      </c>
      <c r="BC21" s="132">
        <v>0</v>
      </c>
      <c r="BD21" s="132">
        <v>0</v>
      </c>
      <c r="BE21" s="132">
        <v>0</v>
      </c>
      <c r="BF21" s="132">
        <v>0</v>
      </c>
      <c r="BG21" s="132">
        <v>0</v>
      </c>
      <c r="BH21" s="132">
        <v>0</v>
      </c>
      <c r="BI21" s="132">
        <v>0</v>
      </c>
      <c r="BJ21" s="132">
        <v>0</v>
      </c>
      <c r="BK21" s="132">
        <v>0</v>
      </c>
      <c r="BL21" s="132">
        <v>0</v>
      </c>
      <c r="BM21" s="132">
        <v>0</v>
      </c>
      <c r="BN21" s="132">
        <v>0</v>
      </c>
      <c r="BO21" s="132">
        <v>0</v>
      </c>
      <c r="BP21" s="132">
        <v>0</v>
      </c>
      <c r="BQ21" s="132">
        <v>0</v>
      </c>
      <c r="BR21" s="132">
        <v>0</v>
      </c>
      <c r="BS21" s="132">
        <v>0</v>
      </c>
      <c r="BT21" s="132">
        <v>0</v>
      </c>
      <c r="BU21" s="132">
        <v>0</v>
      </c>
      <c r="BV21" s="132">
        <v>0</v>
      </c>
      <c r="BW21" s="132">
        <v>0</v>
      </c>
      <c r="BX21" s="132">
        <v>0</v>
      </c>
      <c r="BY21" s="132">
        <v>0</v>
      </c>
      <c r="BZ21" s="132">
        <v>0</v>
      </c>
      <c r="CA21" s="132">
        <v>0</v>
      </c>
      <c r="CB21" s="132">
        <v>0</v>
      </c>
      <c r="CC21" s="132">
        <v>0</v>
      </c>
      <c r="CD21" s="132">
        <v>0</v>
      </c>
      <c r="CF21" s="132">
        <v>0</v>
      </c>
      <c r="CG21" s="132">
        <v>0</v>
      </c>
      <c r="CH21" s="132">
        <v>0</v>
      </c>
      <c r="CI21" s="132">
        <v>0</v>
      </c>
      <c r="CJ21" s="132">
        <v>0</v>
      </c>
      <c r="CK21" s="132">
        <v>0</v>
      </c>
    </row>
    <row r="22" spans="1:89" s="132" customFormat="1" x14ac:dyDescent="0.25">
      <c r="A22" s="423"/>
      <c r="B22" s="132" t="s">
        <v>197</v>
      </c>
      <c r="C22" s="132">
        <v>207692.30769230769</v>
      </c>
      <c r="D22" s="132">
        <v>178846.15384615384</v>
      </c>
      <c r="E22" s="132">
        <v>190384.6153846154</v>
      </c>
      <c r="F22" s="132">
        <v>500000</v>
      </c>
      <c r="G22" s="132">
        <v>500000</v>
      </c>
      <c r="H22" s="132">
        <v>294230.76923076925</v>
      </c>
      <c r="I22" s="132">
        <v>294230.76923076925</v>
      </c>
      <c r="J22" s="132">
        <v>276923.07692307694</v>
      </c>
      <c r="K22" s="132">
        <v>300000</v>
      </c>
      <c r="L22" s="132">
        <v>300000</v>
      </c>
      <c r="M22" s="132">
        <v>300000</v>
      </c>
      <c r="N22" s="132">
        <v>276923.07692307694</v>
      </c>
      <c r="O22" s="132">
        <v>288461.5384615385</v>
      </c>
      <c r="P22" s="132">
        <v>0</v>
      </c>
      <c r="Q22" s="132">
        <v>500000</v>
      </c>
      <c r="R22" s="132">
        <v>248076.92307692309</v>
      </c>
      <c r="S22" s="132">
        <v>451923.07692307694</v>
      </c>
      <c r="T22" s="132">
        <v>276923.07692307694</v>
      </c>
      <c r="U22" s="132">
        <v>265384.61538461538</v>
      </c>
      <c r="V22" s="132">
        <v>276923.07692307694</v>
      </c>
      <c r="W22" s="132">
        <v>0</v>
      </c>
      <c r="X22" s="132">
        <v>0</v>
      </c>
      <c r="Y22" s="132">
        <v>0</v>
      </c>
      <c r="Z22" s="132">
        <v>0</v>
      </c>
      <c r="AA22" s="132">
        <v>0</v>
      </c>
      <c r="AB22" s="132">
        <v>0</v>
      </c>
      <c r="AC22" s="132">
        <v>0</v>
      </c>
      <c r="AD22" s="132">
        <v>0</v>
      </c>
      <c r="AE22" s="132">
        <v>0</v>
      </c>
      <c r="AF22" s="132">
        <v>0</v>
      </c>
      <c r="AH22" s="132">
        <v>673076.92307692301</v>
      </c>
      <c r="AI22" s="132">
        <v>646153.84615384613</v>
      </c>
      <c r="AJ22" s="132">
        <v>673076.92307692301</v>
      </c>
      <c r="AK22" s="132">
        <v>673076.92307692301</v>
      </c>
      <c r="AL22" s="132">
        <v>600000</v>
      </c>
      <c r="AN22" s="132">
        <v>600000</v>
      </c>
      <c r="AO22" s="132">
        <v>282692.30769230769</v>
      </c>
      <c r="AP22" s="132">
        <v>500000</v>
      </c>
      <c r="AQ22" s="132">
        <v>600000</v>
      </c>
      <c r="AR22" s="132">
        <v>288461.5384615385</v>
      </c>
      <c r="AS22" s="132">
        <v>300000</v>
      </c>
      <c r="AT22" s="132">
        <v>288461.5384615385</v>
      </c>
      <c r="AU22" s="132">
        <v>300000</v>
      </c>
      <c r="AV22" s="132">
        <v>300000</v>
      </c>
      <c r="AW22" s="132">
        <v>288461.5384615385</v>
      </c>
      <c r="AX22" s="132">
        <v>288461.5384615385</v>
      </c>
      <c r="AY22" s="132">
        <v>288461.5384615385</v>
      </c>
      <c r="AZ22" s="132">
        <v>196153.84615384616</v>
      </c>
      <c r="BA22" s="132">
        <v>253846.15384615387</v>
      </c>
      <c r="BB22" s="132">
        <v>265384.61538461538</v>
      </c>
      <c r="BC22" s="132">
        <v>276923.07692307694</v>
      </c>
      <c r="BD22" s="132">
        <v>253846.15384615387</v>
      </c>
      <c r="BE22" s="132">
        <v>242307.69230769231</v>
      </c>
      <c r="BF22" s="132">
        <v>230769.23076923078</v>
      </c>
      <c r="BG22" s="132">
        <v>242307.69230769231</v>
      </c>
      <c r="BH22" s="132">
        <v>196153.84615384616</v>
      </c>
      <c r="BI22" s="132">
        <v>0</v>
      </c>
      <c r="BJ22" s="132">
        <v>0</v>
      </c>
      <c r="BK22" s="132">
        <v>230769.23076923078</v>
      </c>
      <c r="BL22" s="132">
        <v>230769.23076923078</v>
      </c>
      <c r="BM22" s="132">
        <v>219230.76923076925</v>
      </c>
      <c r="BN22" s="132">
        <v>0</v>
      </c>
      <c r="BO22" s="132">
        <v>0</v>
      </c>
      <c r="BP22" s="132">
        <v>230769.23076923078</v>
      </c>
      <c r="BQ22" s="132">
        <v>0</v>
      </c>
      <c r="BR22" s="132">
        <v>0</v>
      </c>
      <c r="BS22" s="132">
        <v>0</v>
      </c>
      <c r="BT22" s="132">
        <v>0</v>
      </c>
      <c r="BU22" s="132">
        <v>0</v>
      </c>
      <c r="BV22" s="132">
        <v>0</v>
      </c>
      <c r="BW22" s="132">
        <v>0</v>
      </c>
      <c r="BX22" s="132">
        <v>0</v>
      </c>
      <c r="BY22" s="132">
        <v>0</v>
      </c>
      <c r="BZ22" s="132">
        <v>0</v>
      </c>
      <c r="CA22" s="132">
        <v>0</v>
      </c>
      <c r="CB22" s="132">
        <v>0</v>
      </c>
      <c r="CC22" s="132">
        <v>0</v>
      </c>
      <c r="CD22" s="132">
        <v>0</v>
      </c>
      <c r="CF22" s="132">
        <v>500000</v>
      </c>
      <c r="CG22" s="132">
        <v>500000</v>
      </c>
      <c r="CH22" s="132">
        <v>500000</v>
      </c>
      <c r="CI22" s="132">
        <v>300000</v>
      </c>
      <c r="CJ22" s="132">
        <v>288461.5384615385</v>
      </c>
      <c r="CK22" s="132">
        <v>190384.6153846154</v>
      </c>
    </row>
    <row r="23" spans="1:89" s="132" customFormat="1" x14ac:dyDescent="0.25">
      <c r="A23" s="418"/>
      <c r="B23" s="132" t="s">
        <v>198</v>
      </c>
      <c r="C23" s="132">
        <v>0</v>
      </c>
      <c r="D23" s="132">
        <v>298076.92307692306</v>
      </c>
      <c r="E23" s="132">
        <v>317307.69230769231</v>
      </c>
      <c r="F23" s="132">
        <v>1500000</v>
      </c>
      <c r="G23" s="132">
        <v>500000</v>
      </c>
      <c r="H23" s="132">
        <v>490384.61538461538</v>
      </c>
      <c r="I23" s="132">
        <v>490384.61538461538</v>
      </c>
      <c r="J23" s="132">
        <v>461538.4615384615</v>
      </c>
      <c r="K23" s="132">
        <v>500000</v>
      </c>
      <c r="L23" s="132">
        <v>500000</v>
      </c>
      <c r="M23" s="132">
        <v>500000</v>
      </c>
      <c r="N23" s="132">
        <v>461538.4615384615</v>
      </c>
      <c r="O23" s="132">
        <v>480769.23076923075</v>
      </c>
      <c r="P23" s="132">
        <v>384615.38461538462</v>
      </c>
      <c r="Q23" s="132">
        <v>1800000</v>
      </c>
      <c r="R23" s="132">
        <v>413461.53846153844</v>
      </c>
      <c r="S23" s="132">
        <v>903846.15384615387</v>
      </c>
      <c r="T23" s="132">
        <v>461538.4615384615</v>
      </c>
      <c r="U23" s="132">
        <v>442307.69230769231</v>
      </c>
      <c r="V23" s="132">
        <v>461538.4615384615</v>
      </c>
      <c r="W23" s="132">
        <v>269230.76923076925</v>
      </c>
      <c r="X23" s="132">
        <v>269230.76923076925</v>
      </c>
      <c r="Y23" s="132">
        <v>230769.23076923075</v>
      </c>
      <c r="Z23" s="132">
        <v>230769.23076923075</v>
      </c>
      <c r="AA23" s="132">
        <v>230769.23076923075</v>
      </c>
      <c r="AB23" s="132">
        <v>173076.92307692306</v>
      </c>
      <c r="AC23" s="132">
        <v>153846.15384615384</v>
      </c>
      <c r="AD23" s="132">
        <v>153846.15384615384</v>
      </c>
      <c r="AE23" s="132">
        <v>0</v>
      </c>
      <c r="AF23" s="132">
        <v>0</v>
      </c>
      <c r="AH23" s="132">
        <v>2500000</v>
      </c>
      <c r="AI23" s="132">
        <v>2400000</v>
      </c>
      <c r="AJ23" s="132">
        <v>2019230.7692307692</v>
      </c>
      <c r="AK23" s="132">
        <v>2019230.7692307692</v>
      </c>
      <c r="AL23" s="132">
        <v>1200000</v>
      </c>
      <c r="AN23" s="132">
        <v>1200000</v>
      </c>
      <c r="AO23" s="132">
        <v>1413461.5384615385</v>
      </c>
      <c r="AP23" s="132">
        <v>1500000</v>
      </c>
      <c r="AQ23" s="132">
        <v>1200000</v>
      </c>
      <c r="AR23" s="132">
        <v>480769.23076923075</v>
      </c>
      <c r="AS23" s="132">
        <v>500000</v>
      </c>
      <c r="AT23" s="132">
        <v>480769.23076923075</v>
      </c>
      <c r="AU23" s="132">
        <v>500000</v>
      </c>
      <c r="AV23" s="132">
        <v>500000</v>
      </c>
      <c r="AW23" s="132">
        <v>480769.23076923075</v>
      </c>
      <c r="AX23" s="132">
        <v>480769.23076923075</v>
      </c>
      <c r="AY23" s="132">
        <v>480769.23076923075</v>
      </c>
      <c r="AZ23" s="132">
        <v>326923.07692307694</v>
      </c>
      <c r="BA23" s="132">
        <v>423076.92307692306</v>
      </c>
      <c r="BB23" s="132">
        <v>442307.69230769231</v>
      </c>
      <c r="BC23" s="132">
        <v>461538.4615384615</v>
      </c>
      <c r="BD23" s="132">
        <v>423076.92307692306</v>
      </c>
      <c r="BE23" s="132">
        <v>403846.15384615381</v>
      </c>
      <c r="BF23" s="132">
        <v>384615.38461538462</v>
      </c>
      <c r="BG23" s="132">
        <v>403846.15384615381</v>
      </c>
      <c r="BH23" s="132">
        <v>326923.07692307694</v>
      </c>
      <c r="BI23" s="132">
        <v>0</v>
      </c>
      <c r="BJ23" s="132">
        <v>0</v>
      </c>
      <c r="BK23" s="132">
        <v>384615.38461538462</v>
      </c>
      <c r="BL23" s="132">
        <v>384615.38461538462</v>
      </c>
      <c r="BM23" s="132">
        <v>365384.61538461538</v>
      </c>
      <c r="BN23" s="132">
        <v>0</v>
      </c>
      <c r="BO23" s="132">
        <v>0</v>
      </c>
      <c r="BP23" s="132">
        <v>384615.38461538462</v>
      </c>
      <c r="BQ23" s="132">
        <v>173076.92307692306</v>
      </c>
      <c r="BR23" s="132">
        <v>173076.92307692306</v>
      </c>
      <c r="BS23" s="132">
        <v>153846.15384615384</v>
      </c>
      <c r="BT23" s="132">
        <v>134615.38461538462</v>
      </c>
      <c r="BU23" s="132">
        <v>192307.69230769231</v>
      </c>
      <c r="BV23" s="132">
        <v>96153.846153846156</v>
      </c>
      <c r="BW23" s="132">
        <v>57692.307692307688</v>
      </c>
      <c r="BX23" s="132">
        <v>57692.307692307688</v>
      </c>
      <c r="BY23" s="132">
        <v>57692.307692307688</v>
      </c>
      <c r="BZ23" s="132">
        <v>0</v>
      </c>
      <c r="CA23" s="132">
        <v>0</v>
      </c>
      <c r="CB23" s="132">
        <v>0</v>
      </c>
      <c r="CC23" s="132">
        <v>0</v>
      </c>
      <c r="CD23" s="132">
        <v>0</v>
      </c>
      <c r="CF23" s="132">
        <v>1000000</v>
      </c>
      <c r="CG23" s="132">
        <v>1000000</v>
      </c>
      <c r="CH23" s="132">
        <v>1000000</v>
      </c>
      <c r="CI23" s="132">
        <v>800000</v>
      </c>
      <c r="CJ23" s="132">
        <v>288461.5384615385</v>
      </c>
      <c r="CK23" s="132">
        <v>190384.6153846154</v>
      </c>
    </row>
    <row r="24" spans="1:89" s="154" customFormat="1" x14ac:dyDescent="0.25">
      <c r="A24" s="537" t="s">
        <v>510</v>
      </c>
      <c r="B24" s="538"/>
      <c r="C24" s="154">
        <v>6089173.076923077</v>
      </c>
      <c r="D24" s="154">
        <v>5073449.5192307699</v>
      </c>
      <c r="E24" s="154">
        <v>4850661.057692307</v>
      </c>
      <c r="F24" s="154">
        <v>12035362.98076923</v>
      </c>
      <c r="G24" s="154">
        <v>8659747.5961538479</v>
      </c>
      <c r="H24" s="154">
        <v>10297175.480769234</v>
      </c>
      <c r="I24" s="154">
        <v>10232992.78846154</v>
      </c>
      <c r="J24" s="154">
        <v>6870252.4038461559</v>
      </c>
      <c r="K24" s="154">
        <v>7726514.423076923</v>
      </c>
      <c r="L24" s="154">
        <v>9694783.6538461521</v>
      </c>
      <c r="M24" s="154">
        <v>9807103.365384616</v>
      </c>
      <c r="N24" s="154">
        <v>6618870.1923076939</v>
      </c>
      <c r="O24" s="154">
        <v>7956790.865384615</v>
      </c>
      <c r="P24" s="154">
        <v>5983834.134615385</v>
      </c>
      <c r="Q24" s="154">
        <v>10984531.25</v>
      </c>
      <c r="R24" s="154">
        <v>7407968.7499999991</v>
      </c>
      <c r="S24" s="154">
        <v>8489879.8076923061</v>
      </c>
      <c r="T24" s="154">
        <v>7762391.8269230779</v>
      </c>
      <c r="U24" s="154">
        <v>9233533.653846154</v>
      </c>
      <c r="V24" s="154">
        <v>7768810.0961538479</v>
      </c>
      <c r="W24" s="154">
        <v>4684495.192307692</v>
      </c>
      <c r="X24" s="154">
        <v>4192427.884615384</v>
      </c>
      <c r="Y24" s="154">
        <v>3374218.75</v>
      </c>
      <c r="Z24" s="154">
        <v>3288641.826923077</v>
      </c>
      <c r="AA24" s="154">
        <v>3352824.519230769</v>
      </c>
      <c r="AB24" s="154">
        <v>2310036.0576923075</v>
      </c>
      <c r="AC24" s="154">
        <v>2556129.807692308</v>
      </c>
      <c r="AD24" s="154">
        <v>2556129.807692308</v>
      </c>
      <c r="AE24" s="154">
        <v>1807632.2115384615</v>
      </c>
      <c r="AF24" s="154">
        <v>2200000</v>
      </c>
      <c r="AH24" s="154">
        <v>13425432.692307692</v>
      </c>
      <c r="AI24" s="154">
        <v>12251141.826923076</v>
      </c>
      <c r="AJ24" s="154">
        <v>11373052.884615386</v>
      </c>
      <c r="AK24" s="154">
        <v>12148593.750000002</v>
      </c>
      <c r="AL24" s="154">
        <v>12927572.115384616</v>
      </c>
      <c r="AN24" s="154">
        <v>14044314.903846154</v>
      </c>
      <c r="AO24" s="154">
        <v>11824314.903846154</v>
      </c>
      <c r="AP24" s="154">
        <v>12741586.53846154</v>
      </c>
      <c r="AQ24" s="154">
        <v>8920612.9807692301</v>
      </c>
      <c r="AR24" s="154">
        <v>10128305.288461536</v>
      </c>
      <c r="AS24" s="154">
        <v>9660552.884615384</v>
      </c>
      <c r="AT24" s="154">
        <v>9152728.365384616</v>
      </c>
      <c r="AU24" s="154">
        <v>9592091.346153846</v>
      </c>
      <c r="AV24" s="154">
        <v>8101983.173076923</v>
      </c>
      <c r="AW24" s="154">
        <v>8074459.134615385</v>
      </c>
      <c r="AX24" s="154">
        <v>5929687.5000000009</v>
      </c>
      <c r="AY24" s="154">
        <v>9291790.8653846141</v>
      </c>
      <c r="AZ24" s="154">
        <v>6309603.3653846141</v>
      </c>
      <c r="BA24" s="154">
        <v>6665444.711538462</v>
      </c>
      <c r="BB24" s="154">
        <v>9619699.5192307699</v>
      </c>
      <c r="BC24" s="154">
        <v>9651502.4038461521</v>
      </c>
      <c r="BD24" s="154">
        <v>8850865.3846153859</v>
      </c>
      <c r="BE24" s="154">
        <v>9019098.557692308</v>
      </c>
      <c r="BF24" s="154">
        <v>8420348.557692308</v>
      </c>
      <c r="BG24" s="154">
        <v>9150673.0769230779</v>
      </c>
      <c r="BH24" s="154">
        <v>6942872.596153846</v>
      </c>
      <c r="BI24" s="154">
        <v>2802283.653846154</v>
      </c>
      <c r="BJ24" s="154">
        <v>1600000</v>
      </c>
      <c r="BK24" s="154">
        <v>7190180.2884615399</v>
      </c>
      <c r="BL24" s="154">
        <v>6685276.442307693</v>
      </c>
      <c r="BM24" s="154">
        <v>6588221.1538461531</v>
      </c>
      <c r="BN24" s="154">
        <v>2185096.153846154</v>
      </c>
      <c r="BO24" s="154">
        <v>2746658.653846154</v>
      </c>
      <c r="BP24" s="154">
        <v>6175024.038461539</v>
      </c>
      <c r="BQ24" s="154">
        <v>2855588.9423076925</v>
      </c>
      <c r="BR24" s="154">
        <v>3229987.980769231</v>
      </c>
      <c r="BS24" s="154">
        <v>2122896.6346153845</v>
      </c>
      <c r="BT24" s="154">
        <v>2828966.346153846</v>
      </c>
      <c r="BU24" s="154">
        <v>3449218.7500000005</v>
      </c>
      <c r="BV24" s="154">
        <v>2000060.0961538462</v>
      </c>
      <c r="BW24" s="154">
        <v>882331.73076923075</v>
      </c>
      <c r="BX24" s="154">
        <v>1320913.4615384615</v>
      </c>
      <c r="BY24" s="154">
        <v>1320913.4615384615</v>
      </c>
      <c r="BZ24" s="154">
        <v>1545552.8846153847</v>
      </c>
      <c r="CA24" s="154">
        <v>1160456.7307692308</v>
      </c>
      <c r="CB24" s="154">
        <v>0</v>
      </c>
      <c r="CC24" s="154">
        <v>0</v>
      </c>
      <c r="CD24" s="154">
        <v>1192548.076923077</v>
      </c>
      <c r="CF24" s="154">
        <v>8085757.211538462</v>
      </c>
      <c r="CG24" s="154">
        <v>8647355.7692307699</v>
      </c>
      <c r="CH24" s="154">
        <v>7839723.557692307</v>
      </c>
      <c r="CI24" s="154">
        <v>7087379.807692308</v>
      </c>
      <c r="CJ24" s="154">
        <v>5288461.538461538</v>
      </c>
      <c r="CK24" s="154">
        <v>4258533.653846154</v>
      </c>
    </row>
    <row r="25" spans="1:89" s="132" customFormat="1" x14ac:dyDescent="0.25">
      <c r="A25" s="417" t="s">
        <v>511</v>
      </c>
      <c r="B25" s="132" t="s">
        <v>454</v>
      </c>
      <c r="C25" s="132">
        <v>0</v>
      </c>
      <c r="D25" s="132">
        <v>0</v>
      </c>
      <c r="E25" s="132">
        <v>0</v>
      </c>
      <c r="F25" s="132">
        <v>10697.115384615385</v>
      </c>
      <c r="G25" s="132">
        <v>0</v>
      </c>
      <c r="H25" s="132">
        <v>0</v>
      </c>
      <c r="I25" s="132">
        <v>0</v>
      </c>
      <c r="J25" s="132">
        <v>0</v>
      </c>
      <c r="K25" s="132">
        <v>0</v>
      </c>
      <c r="L25" s="132">
        <v>21394.23076923077</v>
      </c>
      <c r="M25" s="132">
        <v>0</v>
      </c>
      <c r="N25" s="132">
        <v>0</v>
      </c>
      <c r="O25" s="132">
        <v>0</v>
      </c>
      <c r="P25" s="132">
        <v>42788.461538461539</v>
      </c>
      <c r="Q25" s="132">
        <v>0</v>
      </c>
      <c r="R25" s="132">
        <v>7844.5512820512813</v>
      </c>
      <c r="S25" s="132">
        <v>7844.5512820512813</v>
      </c>
      <c r="T25" s="132">
        <v>0</v>
      </c>
      <c r="U25" s="132">
        <v>0</v>
      </c>
      <c r="V25" s="132">
        <v>0</v>
      </c>
      <c r="W25" s="132">
        <v>10697.115384615385</v>
      </c>
      <c r="X25" s="132">
        <v>42788.461538461539</v>
      </c>
      <c r="Y25" s="132">
        <v>53485.576923076922</v>
      </c>
      <c r="Z25" s="132">
        <v>0</v>
      </c>
      <c r="AA25" s="132">
        <v>0</v>
      </c>
      <c r="AB25" s="132">
        <v>0</v>
      </c>
      <c r="AC25" s="132">
        <v>0</v>
      </c>
      <c r="AD25" s="132">
        <v>0</v>
      </c>
      <c r="AE25" s="132">
        <v>0</v>
      </c>
      <c r="AF25" s="132">
        <v>0</v>
      </c>
      <c r="AH25" s="132">
        <v>0</v>
      </c>
      <c r="AI25" s="132">
        <v>53485.576923076922</v>
      </c>
      <c r="AJ25" s="132">
        <v>42788.461538461539</v>
      </c>
      <c r="AK25" s="132">
        <v>10697.115384615385</v>
      </c>
      <c r="AL25" s="132">
        <v>0</v>
      </c>
      <c r="AN25" s="132">
        <v>32091.346153846156</v>
      </c>
      <c r="AO25" s="132">
        <v>0</v>
      </c>
      <c r="AP25" s="132">
        <v>0</v>
      </c>
      <c r="AQ25" s="132">
        <v>0</v>
      </c>
      <c r="AR25" s="132">
        <v>0</v>
      </c>
      <c r="AS25" s="132">
        <v>0</v>
      </c>
      <c r="AT25" s="132">
        <v>0</v>
      </c>
      <c r="AU25" s="132">
        <v>0</v>
      </c>
      <c r="AV25" s="132">
        <v>0</v>
      </c>
      <c r="AW25" s="132">
        <v>0</v>
      </c>
      <c r="AX25" s="132">
        <v>0</v>
      </c>
      <c r="AY25" s="132">
        <v>42788.461538461539</v>
      </c>
      <c r="AZ25" s="132">
        <v>0</v>
      </c>
      <c r="BA25" s="132">
        <v>42788.461538461539</v>
      </c>
      <c r="BB25" s="132">
        <v>0</v>
      </c>
      <c r="BC25" s="132">
        <v>42788.461538461539</v>
      </c>
      <c r="BD25" s="132">
        <v>0</v>
      </c>
      <c r="BE25" s="132">
        <v>0</v>
      </c>
      <c r="BF25" s="132">
        <v>32091.346153846156</v>
      </c>
      <c r="BG25" s="132">
        <v>0</v>
      </c>
      <c r="BH25" s="132">
        <v>0</v>
      </c>
      <c r="BI25" s="132">
        <v>0</v>
      </c>
      <c r="BJ25" s="132">
        <v>0</v>
      </c>
      <c r="BK25" s="132">
        <v>0</v>
      </c>
      <c r="BL25" s="132">
        <v>0</v>
      </c>
      <c r="BM25" s="132">
        <v>0</v>
      </c>
      <c r="BN25" s="132">
        <v>0</v>
      </c>
      <c r="BO25" s="132">
        <v>0</v>
      </c>
      <c r="BP25" s="132">
        <v>0</v>
      </c>
      <c r="BQ25" s="132">
        <v>0</v>
      </c>
      <c r="BR25" s="132">
        <v>0</v>
      </c>
      <c r="BS25" s="132">
        <v>0</v>
      </c>
      <c r="BT25" s="132">
        <v>0</v>
      </c>
      <c r="BU25" s="132">
        <v>0</v>
      </c>
      <c r="BV25" s="132">
        <v>0</v>
      </c>
      <c r="BW25" s="132">
        <v>0</v>
      </c>
      <c r="BX25" s="132">
        <v>0</v>
      </c>
      <c r="BY25" s="132">
        <v>0</v>
      </c>
      <c r="BZ25" s="132">
        <v>0</v>
      </c>
      <c r="CA25" s="132">
        <v>0</v>
      </c>
      <c r="CB25" s="132">
        <v>0</v>
      </c>
      <c r="CC25" s="132">
        <v>0</v>
      </c>
      <c r="CD25" s="132">
        <v>0</v>
      </c>
      <c r="CF25" s="132">
        <v>0</v>
      </c>
      <c r="CG25" s="132">
        <v>0</v>
      </c>
      <c r="CH25" s="132">
        <v>0</v>
      </c>
      <c r="CI25" s="132">
        <v>0</v>
      </c>
      <c r="CJ25" s="132">
        <v>0</v>
      </c>
      <c r="CK25" s="132">
        <v>0</v>
      </c>
    </row>
    <row r="26" spans="1:89" s="132" customFormat="1" x14ac:dyDescent="0.25">
      <c r="A26" s="423"/>
      <c r="B26" s="132" t="s">
        <v>526</v>
      </c>
    </row>
    <row r="27" spans="1:89" s="132" customFormat="1" x14ac:dyDescent="0.25">
      <c r="A27" s="418"/>
      <c r="B27" s="132" t="s">
        <v>527</v>
      </c>
      <c r="C27" s="132">
        <v>300000</v>
      </c>
      <c r="D27" s="132">
        <v>300000</v>
      </c>
      <c r="E27" s="132">
        <v>300000</v>
      </c>
      <c r="R27" s="132">
        <v>150000</v>
      </c>
      <c r="AV27" s="132">
        <v>50000</v>
      </c>
      <c r="AW27" s="132">
        <v>150000</v>
      </c>
    </row>
    <row r="28" spans="1:89" s="154" customFormat="1" x14ac:dyDescent="0.25">
      <c r="A28" s="537" t="s">
        <v>525</v>
      </c>
      <c r="B28" s="538"/>
      <c r="C28" s="154">
        <v>300000</v>
      </c>
      <c r="D28" s="154">
        <v>300000</v>
      </c>
      <c r="E28" s="154">
        <v>300000</v>
      </c>
      <c r="F28" s="154">
        <v>10697.115384615385</v>
      </c>
      <c r="G28" s="154">
        <v>0</v>
      </c>
      <c r="H28" s="154">
        <v>0</v>
      </c>
      <c r="I28" s="154">
        <v>0</v>
      </c>
      <c r="J28" s="154">
        <v>0</v>
      </c>
      <c r="K28" s="154">
        <v>0</v>
      </c>
      <c r="L28" s="154">
        <v>21394.23076923077</v>
      </c>
      <c r="M28" s="154">
        <v>0</v>
      </c>
      <c r="N28" s="154">
        <v>0</v>
      </c>
      <c r="O28" s="154">
        <v>0</v>
      </c>
      <c r="P28" s="154">
        <v>42788.461538461539</v>
      </c>
      <c r="Q28" s="154">
        <v>0</v>
      </c>
      <c r="R28" s="154">
        <v>157844.55128205128</v>
      </c>
      <c r="S28" s="154">
        <v>7844.5512820512813</v>
      </c>
      <c r="T28" s="154">
        <v>0</v>
      </c>
      <c r="U28" s="154">
        <v>0</v>
      </c>
      <c r="V28" s="154">
        <v>0</v>
      </c>
      <c r="W28" s="154">
        <v>10697.115384615399</v>
      </c>
      <c r="X28" s="154">
        <v>42788.461538461539</v>
      </c>
      <c r="Y28" s="154">
        <v>53485.576923076922</v>
      </c>
      <c r="Z28" s="154">
        <v>0</v>
      </c>
      <c r="AA28" s="154">
        <v>0</v>
      </c>
      <c r="AB28" s="154">
        <v>0</v>
      </c>
      <c r="AC28" s="154">
        <v>0</v>
      </c>
      <c r="AD28" s="154">
        <v>0</v>
      </c>
      <c r="AE28" s="154">
        <v>0</v>
      </c>
      <c r="AF28" s="154">
        <v>0</v>
      </c>
      <c r="AH28" s="154">
        <v>0</v>
      </c>
      <c r="AI28" s="154">
        <v>53485.576923076922</v>
      </c>
      <c r="AJ28" s="154">
        <v>42788.461538461539</v>
      </c>
      <c r="AK28" s="154">
        <v>10697.115384615385</v>
      </c>
      <c r="AL28" s="154">
        <v>0</v>
      </c>
      <c r="AN28" s="154">
        <v>32091.346153846156</v>
      </c>
      <c r="AO28" s="154">
        <v>0</v>
      </c>
      <c r="AP28" s="154">
        <v>0</v>
      </c>
      <c r="AQ28" s="154">
        <v>0</v>
      </c>
      <c r="AR28" s="154">
        <v>0</v>
      </c>
      <c r="AS28" s="154">
        <v>0</v>
      </c>
      <c r="AT28" s="154">
        <v>0</v>
      </c>
      <c r="AU28" s="154">
        <v>0</v>
      </c>
      <c r="AV28" s="154">
        <v>50000</v>
      </c>
      <c r="AX28" s="154">
        <v>0</v>
      </c>
      <c r="AY28" s="154">
        <v>42788.461538461539</v>
      </c>
      <c r="AZ28" s="154">
        <v>0</v>
      </c>
      <c r="BA28" s="154">
        <v>42788.461538461539</v>
      </c>
      <c r="BB28" s="154">
        <v>0</v>
      </c>
      <c r="BC28" s="154">
        <v>42788.461538461539</v>
      </c>
      <c r="BD28" s="154">
        <v>0</v>
      </c>
      <c r="BE28" s="154">
        <v>0</v>
      </c>
      <c r="BF28" s="154">
        <v>32091.346153846156</v>
      </c>
      <c r="BG28" s="154">
        <v>0</v>
      </c>
      <c r="BH28" s="154">
        <v>0</v>
      </c>
      <c r="BI28" s="154">
        <v>0</v>
      </c>
      <c r="BJ28" s="154">
        <v>0</v>
      </c>
      <c r="BK28" s="154">
        <v>0</v>
      </c>
      <c r="BL28" s="154">
        <v>0</v>
      </c>
      <c r="BM28" s="154">
        <v>0</v>
      </c>
      <c r="BN28" s="154">
        <v>0</v>
      </c>
      <c r="BO28" s="154">
        <v>0</v>
      </c>
      <c r="BP28" s="154">
        <v>0</v>
      </c>
      <c r="BQ28" s="154">
        <v>0</v>
      </c>
      <c r="BR28" s="154">
        <v>0</v>
      </c>
      <c r="BS28" s="154">
        <v>0</v>
      </c>
      <c r="BT28" s="154">
        <v>0</v>
      </c>
      <c r="BU28" s="154">
        <v>0</v>
      </c>
      <c r="BV28" s="154">
        <v>0</v>
      </c>
      <c r="BW28" s="154">
        <v>0</v>
      </c>
      <c r="BX28" s="154">
        <v>0</v>
      </c>
      <c r="BY28" s="154">
        <v>0</v>
      </c>
      <c r="BZ28" s="154">
        <v>0</v>
      </c>
      <c r="CA28" s="154">
        <v>0</v>
      </c>
      <c r="CB28" s="154">
        <v>0</v>
      </c>
      <c r="CC28" s="154">
        <v>0</v>
      </c>
      <c r="CD28" s="154">
        <v>0</v>
      </c>
      <c r="CF28" s="154">
        <v>0</v>
      </c>
      <c r="CG28" s="154">
        <v>0</v>
      </c>
      <c r="CH28" s="154">
        <v>0</v>
      </c>
      <c r="CI28" s="154">
        <v>0</v>
      </c>
      <c r="CJ28" s="154">
        <v>0</v>
      </c>
      <c r="CK28" s="154">
        <v>0</v>
      </c>
    </row>
    <row r="29" spans="1:89" s="153" customFormat="1" ht="14.25" x14ac:dyDescent="0.25">
      <c r="A29" s="153" t="s">
        <v>512</v>
      </c>
      <c r="C29" s="153">
        <v>5789173.076923077</v>
      </c>
      <c r="D29" s="153">
        <v>4773449.5192307699</v>
      </c>
      <c r="E29" s="153">
        <v>4550661.057692307</v>
      </c>
      <c r="F29" s="153">
        <v>12024665.865384614</v>
      </c>
      <c r="G29" s="153">
        <v>8659747.5961538479</v>
      </c>
      <c r="H29" s="153">
        <v>10297175.480769234</v>
      </c>
      <c r="I29" s="153">
        <v>10232992.78846154</v>
      </c>
      <c r="J29" s="153">
        <v>6870252.4038461559</v>
      </c>
      <c r="K29" s="153">
        <v>7726514.423076923</v>
      </c>
      <c r="L29" s="153">
        <v>9673389.4230769221</v>
      </c>
      <c r="M29" s="153">
        <v>9807103.365384616</v>
      </c>
      <c r="N29" s="153">
        <v>6618870.1923076939</v>
      </c>
      <c r="O29" s="153">
        <v>7956790.865384615</v>
      </c>
      <c r="P29" s="153">
        <v>5941045.673076923</v>
      </c>
      <c r="Q29" s="153">
        <v>10984531.25</v>
      </c>
      <c r="R29" s="153">
        <v>7250124.198717948</v>
      </c>
      <c r="S29" s="153">
        <v>8482035.2564102542</v>
      </c>
      <c r="T29" s="153">
        <v>7762391.8269230779</v>
      </c>
      <c r="U29" s="153">
        <v>9233533.653846154</v>
      </c>
      <c r="V29" s="153">
        <v>7768810.0961538479</v>
      </c>
      <c r="W29" s="153">
        <f>W24-W28</f>
        <v>4673798.076923077</v>
      </c>
      <c r="X29" s="153">
        <v>4149639.4230769225</v>
      </c>
      <c r="Y29" s="153">
        <v>3320733.173076923</v>
      </c>
      <c r="Z29" s="153">
        <v>3288641.826923077</v>
      </c>
      <c r="AA29" s="153">
        <v>3352824.519230769</v>
      </c>
      <c r="AB29" s="153">
        <v>2310036.0576923075</v>
      </c>
      <c r="AC29" s="153">
        <v>2556129.807692308</v>
      </c>
      <c r="AD29" s="153">
        <v>2556129.807692308</v>
      </c>
      <c r="AE29" s="153">
        <v>1807632.2115384615</v>
      </c>
      <c r="AF29" s="153">
        <v>2200000</v>
      </c>
      <c r="AH29" s="153">
        <v>13425432.692307692</v>
      </c>
      <c r="AI29" s="153">
        <v>12197656.25</v>
      </c>
      <c r="AJ29" s="153">
        <v>11330264.423076924</v>
      </c>
      <c r="AK29" s="153">
        <v>12137896.634615386</v>
      </c>
      <c r="AL29" s="153">
        <v>12927572.115384616</v>
      </c>
      <c r="AN29" s="153">
        <v>14012223.557692308</v>
      </c>
      <c r="AO29" s="153">
        <v>11824314.903846154</v>
      </c>
      <c r="AP29" s="153">
        <v>12741586.53846154</v>
      </c>
      <c r="AQ29" s="153">
        <v>8920612.9807692301</v>
      </c>
      <c r="AR29" s="153">
        <v>10128305.288461536</v>
      </c>
      <c r="AS29" s="153">
        <v>9660552.884615384</v>
      </c>
      <c r="AT29" s="153">
        <v>9152728.365384616</v>
      </c>
      <c r="AU29" s="153">
        <v>9592091.346153846</v>
      </c>
      <c r="AV29" s="153">
        <v>8051983.173076923</v>
      </c>
      <c r="AW29" s="153">
        <v>8074459.134615385</v>
      </c>
      <c r="AX29" s="153">
        <v>5929687.5000000009</v>
      </c>
      <c r="AY29" s="153">
        <v>9249002.4038461521</v>
      </c>
      <c r="AZ29" s="153">
        <v>6309603.3653846141</v>
      </c>
      <c r="BA29" s="153">
        <v>6622656.25</v>
      </c>
      <c r="BB29" s="153">
        <v>9619699.5192307699</v>
      </c>
      <c r="BC29" s="153">
        <v>9608713.9423076902</v>
      </c>
      <c r="BD29" s="153">
        <v>8850865.3846153859</v>
      </c>
      <c r="BE29" s="153">
        <v>9019098.557692308</v>
      </c>
      <c r="BF29" s="153">
        <v>8388257.211538462</v>
      </c>
      <c r="BG29" s="153">
        <v>9150673.0769230779</v>
      </c>
      <c r="BH29" s="153">
        <v>6942872.596153846</v>
      </c>
      <c r="BI29" s="153">
        <v>2802283.653846154</v>
      </c>
      <c r="BJ29" s="153">
        <v>1600000</v>
      </c>
      <c r="BK29" s="153">
        <v>7190180.2884615399</v>
      </c>
      <c r="BL29" s="153">
        <v>6685276.442307693</v>
      </c>
      <c r="BM29" s="153">
        <v>6588221.1538461531</v>
      </c>
      <c r="BN29" s="153">
        <v>2185096.153846154</v>
      </c>
      <c r="BO29" s="153">
        <v>2746658.653846154</v>
      </c>
      <c r="BP29" s="153">
        <v>6175024.038461539</v>
      </c>
      <c r="BQ29" s="153">
        <v>2855588.9423076925</v>
      </c>
      <c r="BR29" s="153">
        <v>3229987.980769231</v>
      </c>
      <c r="BS29" s="153">
        <v>2122896.6346153845</v>
      </c>
      <c r="BT29" s="153">
        <v>2828966.346153846</v>
      </c>
      <c r="BU29" s="153">
        <v>3449218.7500000005</v>
      </c>
      <c r="BV29" s="153">
        <v>2000060.0961538462</v>
      </c>
      <c r="BW29" s="153">
        <v>882331.73076923075</v>
      </c>
      <c r="BX29" s="153">
        <v>1320913.4615384615</v>
      </c>
      <c r="BY29" s="153">
        <v>1320913.4615384615</v>
      </c>
      <c r="BZ29" s="153">
        <v>1545552.8846153847</v>
      </c>
      <c r="CA29" s="153">
        <v>1160456.7307692308</v>
      </c>
      <c r="CB29" s="153">
        <v>0</v>
      </c>
      <c r="CC29" s="153">
        <v>0</v>
      </c>
      <c r="CD29" s="153">
        <v>1192548.076923077</v>
      </c>
      <c r="CF29" s="153">
        <v>8085757.211538462</v>
      </c>
      <c r="CG29" s="153">
        <v>8647355.7692307699</v>
      </c>
      <c r="CH29" s="153">
        <v>7839723.557692307</v>
      </c>
      <c r="CI29" s="153">
        <v>7087379.807692308</v>
      </c>
      <c r="CJ29" s="153">
        <v>5288461.538461538</v>
      </c>
      <c r="CK29" s="153">
        <v>4258533.653846154</v>
      </c>
    </row>
  </sheetData>
  <mergeCells count="9">
    <mergeCell ref="A28:B28"/>
    <mergeCell ref="A2:B2"/>
    <mergeCell ref="A3:B3"/>
    <mergeCell ref="A4:A7"/>
    <mergeCell ref="A9:A13"/>
    <mergeCell ref="A14:A17"/>
    <mergeCell ref="A18:A23"/>
    <mergeCell ref="A25:A27"/>
    <mergeCell ref="A24:B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106"/>
  <sheetViews>
    <sheetView zoomScaleNormal="100" workbookViewId="0">
      <pane xSplit="13" ySplit="7" topLeftCell="N83" activePane="bottomRight" state="frozen"/>
      <selection pane="topRight" activeCell="N1" sqref="N1"/>
      <selection pane="bottomLeft" activeCell="A8" sqref="A8"/>
      <selection pane="bottomRight" activeCell="L18" sqref="L18"/>
    </sheetView>
  </sheetViews>
  <sheetFormatPr defaultColWidth="9.140625" defaultRowHeight="12.75" x14ac:dyDescent="0.25"/>
  <cols>
    <col min="1" max="1" width="9.28515625" style="90" bestFit="1" customWidth="1"/>
    <col min="2" max="2" width="9.28515625" style="93" bestFit="1" customWidth="1"/>
    <col min="3" max="3" width="28.140625" style="90" customWidth="1"/>
    <col min="4" max="4" width="6.7109375" style="90" bestFit="1" customWidth="1"/>
    <col min="5" max="5" width="6.5703125" style="90" bestFit="1" customWidth="1"/>
    <col min="6" max="6" width="6" style="90" bestFit="1" customWidth="1"/>
    <col min="7" max="7" width="7.140625" style="90" bestFit="1" customWidth="1"/>
    <col min="8" max="8" width="7.42578125" style="90" bestFit="1" customWidth="1"/>
    <col min="9" max="9" width="7" style="90" customWidth="1"/>
    <col min="10" max="10" width="5" style="90" customWidth="1"/>
    <col min="11" max="11" width="8.28515625" style="90" customWidth="1"/>
    <col min="12" max="12" width="8.5703125" style="90" customWidth="1"/>
    <col min="13" max="13" width="11.28515625" style="90" customWidth="1"/>
    <col min="14" max="14" width="9.140625" style="93" customWidth="1"/>
    <col min="15" max="15" width="6.42578125" style="93" customWidth="1"/>
    <col min="16" max="18" width="9.140625" style="93" customWidth="1"/>
    <col min="19" max="19" width="15.5703125" style="93" customWidth="1"/>
    <col min="20" max="23" width="9.140625" style="93" customWidth="1"/>
    <col min="24" max="24" width="6.42578125" style="93" customWidth="1"/>
    <col min="25" max="34" width="9.140625" style="93" customWidth="1"/>
    <col min="35" max="35" width="8" style="93" customWidth="1"/>
    <col min="36" max="36" width="6.5703125" style="93" customWidth="1"/>
    <col min="37" max="38" width="6.28515625" style="93" customWidth="1"/>
    <col min="39" max="53" width="9.140625" style="93" customWidth="1"/>
    <col min="54" max="54" width="9.140625" style="97" customWidth="1"/>
    <col min="55" max="57" width="9.140625" style="93" customWidth="1"/>
    <col min="58" max="58" width="9.140625" style="116" customWidth="1"/>
    <col min="59" max="65" width="9.140625" style="93" customWidth="1"/>
    <col min="66" max="66" width="9.140625" style="116" customWidth="1"/>
    <col min="67" max="82" width="9.140625" style="93" customWidth="1"/>
    <col min="83" max="83" width="6.28515625" style="93" customWidth="1"/>
    <col min="84" max="90" width="9.140625" style="93" customWidth="1"/>
    <col min="91" max="91" width="9.140625" style="98" customWidth="1"/>
    <col min="92" max="103" width="9.140625" style="93" customWidth="1"/>
    <col min="104" max="104" width="9.140625" style="98" customWidth="1"/>
    <col min="105" max="115" width="9.140625" style="93" customWidth="1"/>
    <col min="116" max="116" width="9.140625" style="97" customWidth="1"/>
    <col min="117" max="117" width="9.28515625" style="93" bestFit="1" customWidth="1"/>
    <col min="118" max="119" width="9.140625" style="93"/>
    <col min="120" max="120" width="9.28515625" style="93" bestFit="1" customWidth="1"/>
    <col min="121" max="121" width="9.140625" style="93"/>
    <col min="122" max="122" width="9.28515625" style="93" bestFit="1" customWidth="1"/>
    <col min="123" max="16384" width="9.140625" style="90"/>
  </cols>
  <sheetData>
    <row r="1" spans="1:122" ht="25.5" customHeight="1" x14ac:dyDescent="0.25">
      <c r="A1" s="374" t="s">
        <v>516</v>
      </c>
      <c r="B1" s="374"/>
      <c r="C1" s="374"/>
      <c r="D1" s="374"/>
      <c r="E1" s="374"/>
      <c r="F1" s="374"/>
      <c r="G1" s="374"/>
      <c r="H1" s="374"/>
      <c r="I1" s="88" t="s">
        <v>459</v>
      </c>
      <c r="J1" s="89" t="s">
        <v>461</v>
      </c>
      <c r="K1" s="89"/>
      <c r="L1" s="90" t="s">
        <v>456</v>
      </c>
      <c r="M1" s="90" t="s">
        <v>457</v>
      </c>
      <c r="N1" s="91"/>
      <c r="O1" s="92" t="s">
        <v>0</v>
      </c>
      <c r="P1" s="385" t="s">
        <v>3</v>
      </c>
      <c r="Q1" s="385"/>
      <c r="R1" s="94" t="s">
        <v>460</v>
      </c>
      <c r="S1" s="94" t="s">
        <v>2</v>
      </c>
      <c r="U1" s="94"/>
      <c r="V1" s="93" t="s">
        <v>570</v>
      </c>
      <c r="W1" s="92"/>
      <c r="X1" s="95"/>
      <c r="Y1" s="177" t="s">
        <v>573</v>
      </c>
      <c r="Z1" s="96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C1" s="92"/>
      <c r="BD1" s="92"/>
      <c r="BE1" s="92"/>
      <c r="BG1" s="92"/>
      <c r="BH1" s="92"/>
      <c r="BI1" s="92"/>
      <c r="BJ1" s="92"/>
      <c r="BK1" s="92"/>
      <c r="BL1" s="92"/>
      <c r="BM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M1" s="92"/>
      <c r="DN1" s="92"/>
      <c r="DO1" s="92"/>
      <c r="DP1" s="92"/>
      <c r="DQ1" s="92"/>
      <c r="DR1" s="92"/>
    </row>
    <row r="2" spans="1:122" x14ac:dyDescent="0.25">
      <c r="A2" s="375" t="s">
        <v>4</v>
      </c>
      <c r="B2" s="375"/>
      <c r="C2" s="375"/>
      <c r="D2" s="375"/>
      <c r="E2" s="375"/>
      <c r="F2" s="375"/>
      <c r="G2" s="375"/>
      <c r="H2" s="375"/>
      <c r="I2" s="92" t="s">
        <v>5</v>
      </c>
      <c r="J2" s="99" t="s">
        <v>6</v>
      </c>
      <c r="K2" s="99"/>
      <c r="L2" s="90" t="s">
        <v>458</v>
      </c>
      <c r="M2" s="90" t="s">
        <v>544</v>
      </c>
      <c r="N2" s="91"/>
      <c r="O2" s="92" t="s">
        <v>462</v>
      </c>
      <c r="P2" s="385" t="s">
        <v>8</v>
      </c>
      <c r="Q2" s="385"/>
      <c r="R2" s="100" t="s">
        <v>463</v>
      </c>
      <c r="S2" s="92" t="s">
        <v>7</v>
      </c>
      <c r="U2" s="92"/>
      <c r="V2" s="93" t="s">
        <v>571</v>
      </c>
      <c r="W2" s="92"/>
      <c r="X2" s="101"/>
      <c r="Y2" s="101"/>
      <c r="Z2" s="10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C2" s="92"/>
      <c r="BD2" s="92"/>
      <c r="BE2" s="92"/>
      <c r="BG2" s="92"/>
      <c r="BH2" s="92"/>
      <c r="BI2" s="92"/>
      <c r="BJ2" s="92"/>
      <c r="BK2" s="92"/>
      <c r="BL2" s="92"/>
      <c r="BM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M2" s="92"/>
      <c r="DN2" s="92"/>
      <c r="DO2" s="92"/>
      <c r="DP2" s="92"/>
      <c r="DQ2" s="92"/>
      <c r="DR2" s="92"/>
    </row>
    <row r="3" spans="1:122" x14ac:dyDescent="0.25">
      <c r="A3" s="376" t="s">
        <v>9</v>
      </c>
      <c r="B3" s="376"/>
      <c r="C3" s="376"/>
      <c r="D3" s="376"/>
      <c r="E3" s="376"/>
      <c r="F3" s="376"/>
      <c r="G3" s="376"/>
      <c r="H3" s="376"/>
      <c r="I3" s="92" t="s">
        <v>10</v>
      </c>
      <c r="J3" s="99" t="s">
        <v>11</v>
      </c>
      <c r="K3" s="99"/>
      <c r="L3" s="90" t="s">
        <v>478</v>
      </c>
      <c r="M3" s="90" t="s">
        <v>479</v>
      </c>
      <c r="N3" s="91"/>
      <c r="O3" s="92" t="s">
        <v>13</v>
      </c>
      <c r="P3" s="386" t="s">
        <v>14</v>
      </c>
      <c r="Q3" s="386"/>
      <c r="R3" s="103"/>
      <c r="S3" s="103"/>
      <c r="T3" s="103"/>
      <c r="U3" s="103"/>
      <c r="V3" s="93" t="s">
        <v>572</v>
      </c>
      <c r="W3" s="92"/>
      <c r="X3" s="104"/>
      <c r="Y3" s="104"/>
      <c r="Z3" s="105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C3" s="92"/>
      <c r="BD3" s="92"/>
      <c r="BE3" s="92"/>
      <c r="BG3" s="92"/>
      <c r="BH3" s="92"/>
      <c r="BI3" s="92"/>
      <c r="BJ3" s="92"/>
      <c r="BK3" s="92"/>
      <c r="BL3" s="92"/>
      <c r="BM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M3" s="92"/>
      <c r="DN3" s="92"/>
      <c r="DO3" s="92"/>
      <c r="DP3" s="92"/>
      <c r="DQ3" s="92"/>
      <c r="DR3" s="92"/>
    </row>
    <row r="4" spans="1:122" ht="25.5" x14ac:dyDescent="0.25">
      <c r="A4" s="75" t="s">
        <v>15</v>
      </c>
      <c r="B4" s="75" t="s">
        <v>16</v>
      </c>
      <c r="C4" s="75" t="s">
        <v>17</v>
      </c>
      <c r="D4" s="379" t="s">
        <v>18</v>
      </c>
      <c r="E4" s="379"/>
      <c r="F4" s="379"/>
      <c r="G4" s="379"/>
      <c r="H4" s="106" t="s">
        <v>12</v>
      </c>
      <c r="I4" s="380" t="s">
        <v>19</v>
      </c>
      <c r="J4" s="380"/>
      <c r="K4" s="380"/>
      <c r="L4" s="380"/>
      <c r="M4" s="380"/>
      <c r="N4" s="381">
        <v>45352</v>
      </c>
      <c r="O4" s="381"/>
      <c r="P4" s="381"/>
      <c r="Q4" s="381"/>
      <c r="R4" s="381">
        <v>45353</v>
      </c>
      <c r="S4" s="381"/>
      <c r="T4" s="381"/>
      <c r="U4" s="381"/>
      <c r="V4" s="66">
        <v>45354</v>
      </c>
      <c r="W4" s="381">
        <v>45355</v>
      </c>
      <c r="X4" s="381"/>
      <c r="Y4" s="381"/>
      <c r="Z4" s="381"/>
      <c r="AA4" s="381">
        <v>45356</v>
      </c>
      <c r="AB4" s="381"/>
      <c r="AC4" s="381"/>
      <c r="AD4" s="381"/>
      <c r="AE4" s="381">
        <v>45357</v>
      </c>
      <c r="AF4" s="381"/>
      <c r="AG4" s="381"/>
      <c r="AH4" s="381"/>
      <c r="AI4" s="381">
        <v>45358</v>
      </c>
      <c r="AJ4" s="381"/>
      <c r="AK4" s="381"/>
      <c r="AL4" s="381"/>
      <c r="AM4" s="381">
        <v>45359</v>
      </c>
      <c r="AN4" s="381"/>
      <c r="AO4" s="381"/>
      <c r="AP4" s="381"/>
      <c r="AQ4" s="381">
        <v>45360</v>
      </c>
      <c r="AR4" s="381"/>
      <c r="AS4" s="381"/>
      <c r="AT4" s="381"/>
      <c r="AU4" s="66">
        <v>45361</v>
      </c>
      <c r="AV4" s="381">
        <v>45362</v>
      </c>
      <c r="AW4" s="381"/>
      <c r="AX4" s="381"/>
      <c r="AY4" s="381"/>
      <c r="AZ4" s="381">
        <v>45363</v>
      </c>
      <c r="BA4" s="381"/>
      <c r="BB4" s="381"/>
      <c r="BC4" s="381"/>
      <c r="BD4" s="382">
        <v>45364</v>
      </c>
      <c r="BE4" s="383"/>
      <c r="BF4" s="383"/>
      <c r="BG4" s="384"/>
      <c r="BH4" s="382">
        <v>45365</v>
      </c>
      <c r="BI4" s="383"/>
      <c r="BJ4" s="383"/>
      <c r="BK4" s="384"/>
      <c r="BL4" s="382">
        <v>45366</v>
      </c>
      <c r="BM4" s="383"/>
      <c r="BN4" s="383"/>
      <c r="BO4" s="384"/>
      <c r="BP4" s="382">
        <v>45367</v>
      </c>
      <c r="BQ4" s="383"/>
      <c r="BR4" s="383"/>
      <c r="BS4" s="384"/>
      <c r="BT4" s="70">
        <v>45368</v>
      </c>
      <c r="BU4" s="382">
        <v>45369</v>
      </c>
      <c r="BV4" s="383"/>
      <c r="BW4" s="383"/>
      <c r="BX4" s="384"/>
      <c r="BY4" s="382">
        <v>45370</v>
      </c>
      <c r="BZ4" s="383"/>
      <c r="CA4" s="383"/>
      <c r="CB4" s="384"/>
      <c r="CC4" s="382">
        <v>45371</v>
      </c>
      <c r="CD4" s="383"/>
      <c r="CE4" s="383"/>
      <c r="CF4" s="384"/>
      <c r="CG4" s="382">
        <v>45372</v>
      </c>
      <c r="CH4" s="383"/>
      <c r="CI4" s="383"/>
      <c r="CJ4" s="384"/>
      <c r="CK4" s="382">
        <v>45373</v>
      </c>
      <c r="CL4" s="383"/>
      <c r="CM4" s="383"/>
      <c r="CN4" s="384"/>
      <c r="CO4" s="382">
        <v>45374</v>
      </c>
      <c r="CP4" s="383"/>
      <c r="CQ4" s="383"/>
      <c r="CR4" s="384"/>
      <c r="CS4" s="70">
        <v>45375</v>
      </c>
      <c r="CT4" s="382">
        <v>45376</v>
      </c>
      <c r="CU4" s="383"/>
      <c r="CV4" s="383"/>
      <c r="CW4" s="384"/>
      <c r="CX4" s="382">
        <v>45377</v>
      </c>
      <c r="CY4" s="383"/>
      <c r="CZ4" s="383"/>
      <c r="DA4" s="384"/>
      <c r="DB4" s="382">
        <v>45378</v>
      </c>
      <c r="DC4" s="383"/>
      <c r="DD4" s="383"/>
      <c r="DE4" s="384"/>
      <c r="DF4" s="382">
        <v>45379</v>
      </c>
      <c r="DG4" s="383"/>
      <c r="DH4" s="383"/>
      <c r="DI4" s="384"/>
      <c r="DJ4" s="382">
        <v>45380</v>
      </c>
      <c r="DK4" s="383"/>
      <c r="DL4" s="383"/>
      <c r="DM4" s="384"/>
      <c r="DN4" s="382">
        <v>45381</v>
      </c>
      <c r="DO4" s="383"/>
      <c r="DP4" s="383"/>
      <c r="DQ4" s="384"/>
      <c r="DR4" s="66">
        <v>45382</v>
      </c>
    </row>
    <row r="5" spans="1:122" ht="38.25" x14ac:dyDescent="0.25">
      <c r="A5" s="377"/>
      <c r="B5" s="377"/>
      <c r="C5" s="377"/>
      <c r="D5" s="107" t="s">
        <v>1</v>
      </c>
      <c r="E5" s="107" t="s">
        <v>5</v>
      </c>
      <c r="F5" s="107" t="s">
        <v>10</v>
      </c>
      <c r="G5" s="107" t="s">
        <v>454</v>
      </c>
      <c r="H5" s="108" t="s">
        <v>1</v>
      </c>
      <c r="I5" s="108" t="s">
        <v>20</v>
      </c>
      <c r="J5" s="108" t="s">
        <v>21</v>
      </c>
      <c r="K5" s="108" t="s">
        <v>22</v>
      </c>
      <c r="L5" s="108" t="s">
        <v>23</v>
      </c>
      <c r="M5" s="108" t="s">
        <v>455</v>
      </c>
      <c r="N5" s="377" t="s">
        <v>24</v>
      </c>
      <c r="O5" s="377"/>
      <c r="P5" s="377"/>
      <c r="Q5" s="377"/>
      <c r="R5" s="377" t="s">
        <v>25</v>
      </c>
      <c r="S5" s="377"/>
      <c r="T5" s="377"/>
      <c r="U5" s="377"/>
      <c r="V5" s="67" t="s">
        <v>12</v>
      </c>
      <c r="W5" s="377" t="s">
        <v>26</v>
      </c>
      <c r="X5" s="377"/>
      <c r="Y5" s="377"/>
      <c r="Z5" s="377"/>
      <c r="AA5" s="377" t="s">
        <v>27</v>
      </c>
      <c r="AB5" s="377"/>
      <c r="AC5" s="377"/>
      <c r="AD5" s="377"/>
      <c r="AE5" s="377" t="s">
        <v>28</v>
      </c>
      <c r="AF5" s="377"/>
      <c r="AG5" s="377"/>
      <c r="AH5" s="377"/>
      <c r="AI5" s="377" t="s">
        <v>29</v>
      </c>
      <c r="AJ5" s="377"/>
      <c r="AK5" s="377"/>
      <c r="AL5" s="377"/>
      <c r="AM5" s="377" t="s">
        <v>24</v>
      </c>
      <c r="AN5" s="377"/>
      <c r="AO5" s="377"/>
      <c r="AP5" s="377"/>
      <c r="AQ5" s="377" t="s">
        <v>25</v>
      </c>
      <c r="AR5" s="377"/>
      <c r="AS5" s="377"/>
      <c r="AT5" s="377"/>
      <c r="AU5" s="67" t="s">
        <v>12</v>
      </c>
      <c r="AV5" s="377" t="s">
        <v>26</v>
      </c>
      <c r="AW5" s="377"/>
      <c r="AX5" s="377"/>
      <c r="AY5" s="377"/>
      <c r="AZ5" s="377" t="s">
        <v>27</v>
      </c>
      <c r="BA5" s="377"/>
      <c r="BB5" s="377"/>
      <c r="BC5" s="377"/>
      <c r="BD5" s="362" t="s">
        <v>28</v>
      </c>
      <c r="BE5" s="363"/>
      <c r="BF5" s="363"/>
      <c r="BG5" s="364"/>
      <c r="BH5" s="362" t="s">
        <v>29</v>
      </c>
      <c r="BI5" s="363"/>
      <c r="BJ5" s="363"/>
      <c r="BK5" s="364"/>
      <c r="BL5" s="362" t="s">
        <v>24</v>
      </c>
      <c r="BM5" s="363"/>
      <c r="BN5" s="363"/>
      <c r="BO5" s="364"/>
      <c r="BP5" s="362" t="s">
        <v>25</v>
      </c>
      <c r="BQ5" s="363"/>
      <c r="BR5" s="363"/>
      <c r="BS5" s="364"/>
      <c r="BT5" s="71" t="s">
        <v>12</v>
      </c>
      <c r="BU5" s="362" t="s">
        <v>26</v>
      </c>
      <c r="BV5" s="363"/>
      <c r="BW5" s="363"/>
      <c r="BX5" s="364"/>
      <c r="BY5" s="362" t="s">
        <v>27</v>
      </c>
      <c r="BZ5" s="363"/>
      <c r="CA5" s="363"/>
      <c r="CB5" s="364"/>
      <c r="CC5" s="362" t="s">
        <v>28</v>
      </c>
      <c r="CD5" s="363"/>
      <c r="CE5" s="363"/>
      <c r="CF5" s="364"/>
      <c r="CG5" s="362" t="s">
        <v>29</v>
      </c>
      <c r="CH5" s="363"/>
      <c r="CI5" s="363"/>
      <c r="CJ5" s="364"/>
      <c r="CK5" s="362" t="s">
        <v>24</v>
      </c>
      <c r="CL5" s="363"/>
      <c r="CM5" s="363"/>
      <c r="CN5" s="364"/>
      <c r="CO5" s="362" t="s">
        <v>25</v>
      </c>
      <c r="CP5" s="363"/>
      <c r="CQ5" s="363"/>
      <c r="CR5" s="364"/>
      <c r="CS5" s="71" t="s">
        <v>12</v>
      </c>
      <c r="CT5" s="362" t="s">
        <v>26</v>
      </c>
      <c r="CU5" s="363"/>
      <c r="CV5" s="363"/>
      <c r="CW5" s="364"/>
      <c r="CX5" s="362" t="s">
        <v>27</v>
      </c>
      <c r="CY5" s="363"/>
      <c r="CZ5" s="363"/>
      <c r="DA5" s="364"/>
      <c r="DB5" s="362" t="s">
        <v>28</v>
      </c>
      <c r="DC5" s="363"/>
      <c r="DD5" s="363"/>
      <c r="DE5" s="364"/>
      <c r="DF5" s="362" t="s">
        <v>29</v>
      </c>
      <c r="DG5" s="363"/>
      <c r="DH5" s="363"/>
      <c r="DI5" s="364"/>
      <c r="DJ5" s="362" t="s">
        <v>24</v>
      </c>
      <c r="DK5" s="363"/>
      <c r="DL5" s="363"/>
      <c r="DM5" s="364"/>
      <c r="DN5" s="362" t="s">
        <v>25</v>
      </c>
      <c r="DO5" s="363"/>
      <c r="DP5" s="363"/>
      <c r="DQ5" s="364"/>
      <c r="DR5" s="67" t="s">
        <v>12</v>
      </c>
    </row>
    <row r="6" spans="1:122" x14ac:dyDescent="0.25">
      <c r="A6" s="378"/>
      <c r="B6" s="377"/>
      <c r="C6" s="378"/>
      <c r="D6" s="75"/>
      <c r="E6" s="75"/>
      <c r="F6" s="75"/>
      <c r="G6" s="75"/>
      <c r="H6" s="75"/>
      <c r="I6" s="75"/>
      <c r="J6" s="75"/>
      <c r="K6" s="75"/>
      <c r="L6" s="75"/>
      <c r="M6" s="75"/>
      <c r="N6" s="377">
        <v>1</v>
      </c>
      <c r="O6" s="377"/>
      <c r="P6" s="377">
        <v>1</v>
      </c>
      <c r="Q6" s="377">
        <v>1</v>
      </c>
      <c r="R6" s="377">
        <v>1</v>
      </c>
      <c r="S6" s="377"/>
      <c r="T6" s="377">
        <v>1</v>
      </c>
      <c r="U6" s="377">
        <v>1</v>
      </c>
      <c r="V6" s="67">
        <v>2</v>
      </c>
      <c r="W6" s="377">
        <v>1</v>
      </c>
      <c r="X6" s="377"/>
      <c r="Y6" s="377">
        <v>1</v>
      </c>
      <c r="Z6" s="377">
        <v>1</v>
      </c>
      <c r="AA6" s="377">
        <v>1</v>
      </c>
      <c r="AB6" s="377"/>
      <c r="AC6" s="377">
        <v>1</v>
      </c>
      <c r="AD6" s="377">
        <v>1</v>
      </c>
      <c r="AE6" s="377">
        <v>1</v>
      </c>
      <c r="AF6" s="377"/>
      <c r="AG6" s="377">
        <v>1</v>
      </c>
      <c r="AH6" s="377">
        <v>1</v>
      </c>
      <c r="AI6" s="377">
        <v>1</v>
      </c>
      <c r="AJ6" s="377"/>
      <c r="AK6" s="377">
        <v>1</v>
      </c>
      <c r="AL6" s="377">
        <v>1</v>
      </c>
      <c r="AM6" s="377">
        <v>1</v>
      </c>
      <c r="AN6" s="377"/>
      <c r="AO6" s="377">
        <v>1</v>
      </c>
      <c r="AP6" s="377">
        <v>1</v>
      </c>
      <c r="AQ6" s="377">
        <v>1</v>
      </c>
      <c r="AR6" s="377"/>
      <c r="AS6" s="377">
        <v>1</v>
      </c>
      <c r="AT6" s="377">
        <v>1</v>
      </c>
      <c r="AU6" s="67">
        <v>2</v>
      </c>
      <c r="AV6" s="377">
        <v>1</v>
      </c>
      <c r="AW6" s="377"/>
      <c r="AX6" s="377">
        <v>1</v>
      </c>
      <c r="AY6" s="377">
        <v>1</v>
      </c>
      <c r="AZ6" s="377">
        <v>1</v>
      </c>
      <c r="BA6" s="377"/>
      <c r="BB6" s="377">
        <v>1</v>
      </c>
      <c r="BC6" s="377">
        <v>1</v>
      </c>
      <c r="BD6" s="377">
        <v>1</v>
      </c>
      <c r="BE6" s="377"/>
      <c r="BF6" s="377">
        <v>1</v>
      </c>
      <c r="BG6" s="377">
        <v>1</v>
      </c>
      <c r="BH6" s="377">
        <v>1</v>
      </c>
      <c r="BI6" s="377"/>
      <c r="BJ6" s="377">
        <v>1</v>
      </c>
      <c r="BK6" s="377">
        <v>1</v>
      </c>
      <c r="BL6" s="377">
        <v>1</v>
      </c>
      <c r="BM6" s="377"/>
      <c r="BN6" s="377">
        <v>1</v>
      </c>
      <c r="BO6" s="377">
        <v>1</v>
      </c>
      <c r="BP6" s="377">
        <v>1</v>
      </c>
      <c r="BQ6" s="377"/>
      <c r="BR6" s="377">
        <v>1</v>
      </c>
      <c r="BS6" s="377">
        <v>1</v>
      </c>
      <c r="BT6" s="67">
        <v>2</v>
      </c>
      <c r="BU6" s="377">
        <v>1</v>
      </c>
      <c r="BV6" s="377"/>
      <c r="BW6" s="377">
        <v>1</v>
      </c>
      <c r="BX6" s="377">
        <v>1</v>
      </c>
      <c r="BY6" s="377">
        <v>1</v>
      </c>
      <c r="BZ6" s="377"/>
      <c r="CA6" s="377">
        <v>1</v>
      </c>
      <c r="CB6" s="377">
        <v>1</v>
      </c>
      <c r="CC6" s="377">
        <v>1</v>
      </c>
      <c r="CD6" s="377"/>
      <c r="CE6" s="377">
        <v>1</v>
      </c>
      <c r="CF6" s="377">
        <v>1</v>
      </c>
      <c r="CG6" s="377">
        <v>1</v>
      </c>
      <c r="CH6" s="377"/>
      <c r="CI6" s="377">
        <v>1</v>
      </c>
      <c r="CJ6" s="377">
        <v>1</v>
      </c>
      <c r="CK6" s="377">
        <v>1</v>
      </c>
      <c r="CL6" s="377"/>
      <c r="CM6" s="377">
        <v>1</v>
      </c>
      <c r="CN6" s="377">
        <v>1</v>
      </c>
      <c r="CO6" s="377">
        <v>1</v>
      </c>
      <c r="CP6" s="377"/>
      <c r="CQ6" s="377">
        <v>1</v>
      </c>
      <c r="CR6" s="377">
        <v>1</v>
      </c>
      <c r="CS6" s="67">
        <v>2</v>
      </c>
      <c r="CT6" s="377">
        <v>1</v>
      </c>
      <c r="CU6" s="377"/>
      <c r="CV6" s="377">
        <v>1</v>
      </c>
      <c r="CW6" s="377">
        <v>1</v>
      </c>
      <c r="CX6" s="377">
        <v>1</v>
      </c>
      <c r="CY6" s="377"/>
      <c r="CZ6" s="377">
        <v>1</v>
      </c>
      <c r="DA6" s="377">
        <v>1</v>
      </c>
      <c r="DB6" s="377">
        <v>1</v>
      </c>
      <c r="DC6" s="377"/>
      <c r="DD6" s="377">
        <v>1</v>
      </c>
      <c r="DE6" s="377">
        <v>1</v>
      </c>
      <c r="DF6" s="377">
        <v>1</v>
      </c>
      <c r="DG6" s="377"/>
      <c r="DH6" s="377">
        <v>1</v>
      </c>
      <c r="DI6" s="377">
        <v>1</v>
      </c>
      <c r="DJ6" s="377">
        <v>1</v>
      </c>
      <c r="DK6" s="377"/>
      <c r="DL6" s="377">
        <v>1</v>
      </c>
      <c r="DM6" s="377">
        <v>1</v>
      </c>
      <c r="DN6" s="377">
        <v>1</v>
      </c>
      <c r="DO6" s="377"/>
      <c r="DP6" s="377">
        <v>1</v>
      </c>
      <c r="DQ6" s="377">
        <v>1</v>
      </c>
      <c r="DR6" s="67">
        <v>2</v>
      </c>
    </row>
    <row r="7" spans="1:122" s="111" customFormat="1" x14ac:dyDescent="0.25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15</v>
      </c>
      <c r="J7" s="75">
        <v>16</v>
      </c>
      <c r="K7" s="75">
        <v>17</v>
      </c>
      <c r="L7" s="75">
        <v>18</v>
      </c>
      <c r="M7" s="75">
        <v>19</v>
      </c>
      <c r="N7" s="63" t="s">
        <v>459</v>
      </c>
      <c r="O7" s="109" t="s">
        <v>456</v>
      </c>
      <c r="P7" s="64" t="s">
        <v>5</v>
      </c>
      <c r="Q7" s="65" t="s">
        <v>10</v>
      </c>
      <c r="R7" s="63" t="s">
        <v>459</v>
      </c>
      <c r="S7" s="109" t="s">
        <v>456</v>
      </c>
      <c r="T7" s="64" t="s">
        <v>5</v>
      </c>
      <c r="U7" s="65" t="s">
        <v>10</v>
      </c>
      <c r="V7" s="67" t="s">
        <v>459</v>
      </c>
      <c r="W7" s="63" t="s">
        <v>459</v>
      </c>
      <c r="X7" s="109" t="s">
        <v>456</v>
      </c>
      <c r="Y7" s="64" t="s">
        <v>5</v>
      </c>
      <c r="Z7" s="65" t="s">
        <v>10</v>
      </c>
      <c r="AA7" s="63" t="s">
        <v>459</v>
      </c>
      <c r="AB7" s="109" t="s">
        <v>456</v>
      </c>
      <c r="AC7" s="64" t="s">
        <v>5</v>
      </c>
      <c r="AD7" s="65" t="s">
        <v>10</v>
      </c>
      <c r="AE7" s="63" t="s">
        <v>459</v>
      </c>
      <c r="AF7" s="109" t="s">
        <v>456</v>
      </c>
      <c r="AG7" s="64" t="s">
        <v>5</v>
      </c>
      <c r="AH7" s="65" t="s">
        <v>10</v>
      </c>
      <c r="AI7" s="63" t="s">
        <v>459</v>
      </c>
      <c r="AJ7" s="109" t="s">
        <v>456</v>
      </c>
      <c r="AK7" s="64" t="s">
        <v>5</v>
      </c>
      <c r="AL7" s="65" t="s">
        <v>10</v>
      </c>
      <c r="AM7" s="63" t="s">
        <v>459</v>
      </c>
      <c r="AN7" s="109" t="s">
        <v>456</v>
      </c>
      <c r="AO7" s="64" t="s">
        <v>5</v>
      </c>
      <c r="AP7" s="65" t="s">
        <v>10</v>
      </c>
      <c r="AQ7" s="63" t="s">
        <v>459</v>
      </c>
      <c r="AR7" s="109" t="s">
        <v>456</v>
      </c>
      <c r="AS7" s="64" t="s">
        <v>5</v>
      </c>
      <c r="AT7" s="65" t="s">
        <v>10</v>
      </c>
      <c r="AU7" s="67" t="s">
        <v>459</v>
      </c>
      <c r="AV7" s="63" t="s">
        <v>459</v>
      </c>
      <c r="AW7" s="109" t="s">
        <v>456</v>
      </c>
      <c r="AX7" s="64" t="s">
        <v>5</v>
      </c>
      <c r="AY7" s="65" t="s">
        <v>10</v>
      </c>
      <c r="AZ7" s="63" t="s">
        <v>459</v>
      </c>
      <c r="BA7" s="109" t="s">
        <v>456</v>
      </c>
      <c r="BB7" s="79" t="s">
        <v>5</v>
      </c>
      <c r="BC7" s="65" t="s">
        <v>10</v>
      </c>
      <c r="BD7" s="63" t="s">
        <v>459</v>
      </c>
      <c r="BE7" s="110" t="s">
        <v>456</v>
      </c>
      <c r="BF7" s="76" t="s">
        <v>5</v>
      </c>
      <c r="BG7" s="65" t="s">
        <v>10</v>
      </c>
      <c r="BH7" s="63" t="s">
        <v>459</v>
      </c>
      <c r="BI7" s="110" t="s">
        <v>456</v>
      </c>
      <c r="BJ7" s="64" t="s">
        <v>5</v>
      </c>
      <c r="BK7" s="65" t="s">
        <v>10</v>
      </c>
      <c r="BL7" s="63" t="s">
        <v>459</v>
      </c>
      <c r="BM7" s="110" t="s">
        <v>456</v>
      </c>
      <c r="BN7" s="76" t="s">
        <v>5</v>
      </c>
      <c r="BO7" s="65" t="s">
        <v>10</v>
      </c>
      <c r="BP7" s="63" t="s">
        <v>459</v>
      </c>
      <c r="BQ7" s="110" t="s">
        <v>456</v>
      </c>
      <c r="BR7" s="64" t="s">
        <v>5</v>
      </c>
      <c r="BS7" s="65" t="s">
        <v>10</v>
      </c>
      <c r="BT7" s="67" t="s">
        <v>459</v>
      </c>
      <c r="BU7" s="63" t="s">
        <v>459</v>
      </c>
      <c r="BV7" s="110" t="s">
        <v>456</v>
      </c>
      <c r="BW7" s="64" t="s">
        <v>5</v>
      </c>
      <c r="BX7" s="65" t="s">
        <v>10</v>
      </c>
      <c r="BY7" s="63" t="s">
        <v>459</v>
      </c>
      <c r="BZ7" s="110" t="s">
        <v>456</v>
      </c>
      <c r="CA7" s="64" t="s">
        <v>5</v>
      </c>
      <c r="CB7" s="65" t="s">
        <v>10</v>
      </c>
      <c r="CC7" s="63" t="s">
        <v>459</v>
      </c>
      <c r="CD7" s="110" t="s">
        <v>456</v>
      </c>
      <c r="CE7" s="64" t="s">
        <v>5</v>
      </c>
      <c r="CF7" s="65" t="s">
        <v>10</v>
      </c>
      <c r="CG7" s="63" t="s">
        <v>459</v>
      </c>
      <c r="CH7" s="110" t="s">
        <v>456</v>
      </c>
      <c r="CI7" s="64" t="s">
        <v>5</v>
      </c>
      <c r="CJ7" s="65" t="s">
        <v>10</v>
      </c>
      <c r="CK7" s="63" t="s">
        <v>459</v>
      </c>
      <c r="CL7" s="110" t="s">
        <v>456</v>
      </c>
      <c r="CM7" s="85" t="s">
        <v>5</v>
      </c>
      <c r="CN7" s="65" t="s">
        <v>10</v>
      </c>
      <c r="CO7" s="63" t="s">
        <v>459</v>
      </c>
      <c r="CP7" s="110" t="s">
        <v>456</v>
      </c>
      <c r="CQ7" s="64" t="s">
        <v>5</v>
      </c>
      <c r="CR7" s="65" t="s">
        <v>10</v>
      </c>
      <c r="CS7" s="67" t="s">
        <v>459</v>
      </c>
      <c r="CT7" s="63" t="s">
        <v>459</v>
      </c>
      <c r="CU7" s="110" t="s">
        <v>456</v>
      </c>
      <c r="CV7" s="64" t="s">
        <v>5</v>
      </c>
      <c r="CW7" s="65" t="s">
        <v>10</v>
      </c>
      <c r="CX7" s="63" t="s">
        <v>459</v>
      </c>
      <c r="CY7" s="110" t="s">
        <v>456</v>
      </c>
      <c r="CZ7" s="85" t="s">
        <v>5</v>
      </c>
      <c r="DA7" s="65" t="s">
        <v>10</v>
      </c>
      <c r="DB7" s="63" t="s">
        <v>459</v>
      </c>
      <c r="DC7" s="110" t="s">
        <v>456</v>
      </c>
      <c r="DD7" s="64" t="s">
        <v>5</v>
      </c>
      <c r="DE7" s="65" t="s">
        <v>10</v>
      </c>
      <c r="DF7" s="63" t="s">
        <v>459</v>
      </c>
      <c r="DG7" s="110" t="s">
        <v>456</v>
      </c>
      <c r="DH7" s="64" t="s">
        <v>5</v>
      </c>
      <c r="DI7" s="65" t="s">
        <v>10</v>
      </c>
      <c r="DJ7" s="63" t="s">
        <v>459</v>
      </c>
      <c r="DK7" s="110" t="s">
        <v>456</v>
      </c>
      <c r="DL7" s="79" t="s">
        <v>5</v>
      </c>
      <c r="DM7" s="65" t="s">
        <v>10</v>
      </c>
      <c r="DN7" s="63" t="s">
        <v>459</v>
      </c>
      <c r="DO7" s="110" t="s">
        <v>456</v>
      </c>
      <c r="DP7" s="64" t="s">
        <v>5</v>
      </c>
      <c r="DQ7" s="65" t="s">
        <v>10</v>
      </c>
      <c r="DR7" s="67" t="s">
        <v>459</v>
      </c>
    </row>
    <row r="8" spans="1:122" s="111" customFormat="1" x14ac:dyDescent="0.25">
      <c r="A8" s="362" t="s">
        <v>517</v>
      </c>
      <c r="B8" s="363"/>
      <c r="C8" s="364"/>
      <c r="D8" s="75"/>
      <c r="E8" s="75"/>
      <c r="F8" s="75"/>
      <c r="G8" s="75"/>
      <c r="H8" s="75"/>
      <c r="I8" s="75"/>
      <c r="J8" s="75"/>
      <c r="K8" s="75"/>
      <c r="L8" s="75"/>
      <c r="M8" s="75"/>
      <c r="N8" s="63"/>
      <c r="O8" s="109"/>
      <c r="P8" s="64"/>
      <c r="Q8" s="65"/>
      <c r="R8" s="63"/>
      <c r="S8" s="109"/>
      <c r="T8" s="64"/>
      <c r="U8" s="65"/>
      <c r="V8" s="67"/>
      <c r="W8" s="63"/>
      <c r="X8" s="109"/>
      <c r="Y8" s="64"/>
      <c r="Z8" s="65"/>
      <c r="AA8" s="63"/>
      <c r="AB8" s="109"/>
      <c r="AC8" s="64"/>
      <c r="AD8" s="65"/>
      <c r="AE8" s="63"/>
      <c r="AF8" s="109"/>
      <c r="AG8" s="64"/>
      <c r="AH8" s="65"/>
      <c r="AI8" s="63"/>
      <c r="AJ8" s="109"/>
      <c r="AK8" s="64"/>
      <c r="AL8" s="65"/>
      <c r="AM8" s="63"/>
      <c r="AN8" s="109"/>
      <c r="AO8" s="64"/>
      <c r="AP8" s="65"/>
      <c r="AQ8" s="63"/>
      <c r="AR8" s="109"/>
      <c r="AS8" s="64"/>
      <c r="AT8" s="65"/>
      <c r="AU8" s="67"/>
      <c r="AV8" s="63"/>
      <c r="AW8" s="109"/>
      <c r="AX8" s="64"/>
      <c r="AY8" s="65"/>
      <c r="AZ8" s="63"/>
      <c r="BA8" s="109"/>
      <c r="BB8" s="79"/>
      <c r="BC8" s="65"/>
      <c r="BD8" s="63"/>
      <c r="BE8" s="110"/>
      <c r="BF8" s="76"/>
      <c r="BG8" s="65"/>
      <c r="BH8" s="63"/>
      <c r="BI8" s="110"/>
      <c r="BJ8" s="64"/>
      <c r="BK8" s="65"/>
      <c r="BL8" s="63"/>
      <c r="BM8" s="110"/>
      <c r="BN8" s="76"/>
      <c r="BO8" s="65"/>
      <c r="BP8" s="63"/>
      <c r="BQ8" s="110"/>
      <c r="BR8" s="64"/>
      <c r="BS8" s="65"/>
      <c r="BT8" s="67"/>
      <c r="BU8" s="63"/>
      <c r="BV8" s="110"/>
      <c r="BW8" s="64"/>
      <c r="BX8" s="65"/>
      <c r="BY8" s="63"/>
      <c r="BZ8" s="110"/>
      <c r="CA8" s="64"/>
      <c r="CB8" s="65"/>
      <c r="CC8" s="63"/>
      <c r="CD8" s="110"/>
      <c r="CE8" s="64"/>
      <c r="CF8" s="65"/>
      <c r="CG8" s="63"/>
      <c r="CH8" s="110"/>
      <c r="CI8" s="64"/>
      <c r="CJ8" s="65"/>
      <c r="CK8" s="63"/>
      <c r="CL8" s="110"/>
      <c r="CM8" s="85"/>
      <c r="CN8" s="65"/>
      <c r="CO8" s="63"/>
      <c r="CP8" s="110"/>
      <c r="CQ8" s="64"/>
      <c r="CR8" s="65"/>
      <c r="CS8" s="67"/>
      <c r="CT8" s="63"/>
      <c r="CU8" s="110"/>
      <c r="CV8" s="64"/>
      <c r="CW8" s="65"/>
      <c r="CX8" s="63"/>
      <c r="CY8" s="110"/>
      <c r="CZ8" s="85"/>
      <c r="DA8" s="65"/>
      <c r="DB8" s="63"/>
      <c r="DC8" s="110"/>
      <c r="DD8" s="64"/>
      <c r="DE8" s="65"/>
      <c r="DF8" s="63"/>
      <c r="DG8" s="110"/>
      <c r="DH8" s="64"/>
      <c r="DI8" s="65"/>
      <c r="DJ8" s="63"/>
      <c r="DK8" s="110"/>
      <c r="DL8" s="79"/>
      <c r="DM8" s="65"/>
      <c r="DN8" s="63"/>
      <c r="DO8" s="110"/>
      <c r="DP8" s="64"/>
      <c r="DQ8" s="65"/>
      <c r="DR8" s="67"/>
    </row>
    <row r="9" spans="1:122" x14ac:dyDescent="0.25">
      <c r="A9" s="59">
        <v>1</v>
      </c>
      <c r="B9" s="72" t="s">
        <v>34</v>
      </c>
      <c r="C9" s="73" t="s">
        <v>35</v>
      </c>
      <c r="D9" s="60">
        <f>COUNTIF($N9:$DR9,$L$2)+COUNTIF($N9:$DR9,$L$3)/2</f>
        <v>18</v>
      </c>
      <c r="E9" s="60">
        <f>IF(C9="",0,SUMIFS($N9:$DR9,$N$7:$DR$7,$I$2,$N$6:$DR$6,1))</f>
        <v>55</v>
      </c>
      <c r="F9" s="60">
        <f t="shared" ref="F9:F62" si="0">IF(C9="",0,SUMIFS($N9:$DR9,$N$7:$DR$7,$I$3,$N$6:$DR$6,1))</f>
        <v>2.2999999999999998</v>
      </c>
      <c r="G9" s="60">
        <f t="shared" ref="G9:G62" si="1">IF(C9="",0,SUMIFS(N9:DR9,$N$7:$DR$7,"ĐT/VS"))</f>
        <v>0</v>
      </c>
      <c r="H9" s="60">
        <f t="shared" ref="H9:H71" si="2">IF(E9="",0,SUMIFS($N9:$DR9,$N$7:$DR$7,$I$1,$N$6:$DR$6,2))</f>
        <v>10</v>
      </c>
      <c r="I9" s="60">
        <f>COUNTIF($N9:$DR9,$R$2)</f>
        <v>0</v>
      </c>
      <c r="J9" s="60">
        <f t="shared" ref="J9:J62" si="3">COUNTIF($N9:$DR9,$O$3)</f>
        <v>0</v>
      </c>
      <c r="K9" s="60">
        <f>COUNTIF($N9:$DQ9,$R$1)</f>
        <v>0</v>
      </c>
      <c r="L9" s="60">
        <f t="shared" ref="L9:L62" si="4">COUNTIF($N9:$DQ9,$O$2)</f>
        <v>1</v>
      </c>
      <c r="M9" s="60">
        <f t="shared" ref="M9:M62" si="5">COUNTIF($N9:$DQ9,$O$1)</f>
        <v>0</v>
      </c>
      <c r="N9" s="61" t="s">
        <v>458</v>
      </c>
      <c r="O9" s="61"/>
      <c r="P9" s="61">
        <v>3.5</v>
      </c>
      <c r="Q9" s="61"/>
      <c r="R9" s="61" t="s">
        <v>458</v>
      </c>
      <c r="S9" s="61"/>
      <c r="T9" s="61">
        <v>4.5</v>
      </c>
      <c r="U9" s="61">
        <v>1.5</v>
      </c>
      <c r="V9" s="68"/>
      <c r="W9" s="61" t="s">
        <v>458</v>
      </c>
      <c r="X9" s="61"/>
      <c r="Y9" s="61">
        <v>4.5</v>
      </c>
      <c r="Z9" s="61"/>
      <c r="AA9" s="61" t="s">
        <v>458</v>
      </c>
      <c r="AB9" s="61"/>
      <c r="AC9" s="61">
        <v>5</v>
      </c>
      <c r="AD9" s="61"/>
      <c r="AE9" s="61" t="s">
        <v>458</v>
      </c>
      <c r="AF9" s="61"/>
      <c r="AG9" s="61">
        <v>4.5</v>
      </c>
      <c r="AH9" s="61"/>
      <c r="AI9" s="61" t="s">
        <v>458</v>
      </c>
      <c r="AJ9" s="61"/>
      <c r="AK9" s="61">
        <v>3.5</v>
      </c>
      <c r="AL9" s="61"/>
      <c r="AM9" s="61" t="s">
        <v>458</v>
      </c>
      <c r="AN9" s="61"/>
      <c r="AO9" s="61">
        <v>4.5</v>
      </c>
      <c r="AP9" s="61"/>
      <c r="AQ9" s="61" t="s">
        <v>458</v>
      </c>
      <c r="AR9" s="61"/>
      <c r="AS9" s="61">
        <f>21.5-17-0.5</f>
        <v>4</v>
      </c>
      <c r="AT9" s="61"/>
      <c r="AU9" s="68"/>
      <c r="AV9" s="61" t="s">
        <v>458</v>
      </c>
      <c r="AW9" s="61"/>
      <c r="AX9" s="61">
        <v>4.5</v>
      </c>
      <c r="AY9" s="61">
        <v>0.8</v>
      </c>
      <c r="AZ9" s="61" t="s">
        <v>458</v>
      </c>
      <c r="BA9" s="61"/>
      <c r="BB9" s="80"/>
      <c r="BC9" s="61"/>
      <c r="BD9" s="61" t="s">
        <v>458</v>
      </c>
      <c r="BE9" s="61"/>
      <c r="BF9" s="77">
        <f>21.5-17.5</f>
        <v>4</v>
      </c>
      <c r="BG9" s="61"/>
      <c r="BH9" s="61" t="s">
        <v>458</v>
      </c>
      <c r="BI9" s="61"/>
      <c r="BJ9" s="61">
        <f>21-17.5</f>
        <v>3.5</v>
      </c>
      <c r="BK9" s="61"/>
      <c r="BL9" s="61" t="s">
        <v>458</v>
      </c>
      <c r="BM9" s="61"/>
      <c r="BN9" s="77">
        <f>21.5-17.5</f>
        <v>4</v>
      </c>
      <c r="BO9" s="61"/>
      <c r="BP9" s="61" t="s">
        <v>458</v>
      </c>
      <c r="BQ9" s="61"/>
      <c r="BR9" s="61">
        <v>4</v>
      </c>
      <c r="BS9" s="61"/>
      <c r="BT9" s="68">
        <f>19.5-7.5-2</f>
        <v>10</v>
      </c>
      <c r="BU9" s="61" t="s">
        <v>458</v>
      </c>
      <c r="BV9" s="61"/>
      <c r="BW9" s="61"/>
      <c r="BX9" s="61"/>
      <c r="BY9" s="61" t="s">
        <v>458</v>
      </c>
      <c r="BZ9" s="61"/>
      <c r="CA9" s="61">
        <v>1</v>
      </c>
      <c r="CB9" s="61"/>
      <c r="CC9" s="61"/>
      <c r="CD9" s="61"/>
      <c r="CE9" s="61"/>
      <c r="CF9" s="61"/>
      <c r="CG9" s="61" t="s">
        <v>458</v>
      </c>
      <c r="CH9" s="61"/>
      <c r="CI9" s="61"/>
      <c r="CJ9" s="61"/>
      <c r="CK9" s="61" t="s">
        <v>462</v>
      </c>
      <c r="CL9" s="61"/>
      <c r="CM9" s="86"/>
      <c r="CN9" s="61"/>
      <c r="CO9" s="61" t="s">
        <v>458</v>
      </c>
      <c r="CP9" s="61"/>
      <c r="CQ9" s="61"/>
      <c r="CR9" s="61"/>
      <c r="CS9" s="68"/>
      <c r="CT9" s="61"/>
      <c r="CU9" s="61"/>
      <c r="CV9" s="61"/>
      <c r="CW9" s="61"/>
      <c r="CX9" s="61"/>
      <c r="CY9" s="61"/>
      <c r="CZ9" s="86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80"/>
      <c r="DM9" s="61"/>
      <c r="DN9" s="61"/>
      <c r="DO9" s="61"/>
      <c r="DP9" s="61"/>
      <c r="DQ9" s="61"/>
      <c r="DR9" s="68"/>
    </row>
    <row r="10" spans="1:122" x14ac:dyDescent="0.25">
      <c r="A10" s="59">
        <v>2</v>
      </c>
      <c r="B10" s="72" t="s">
        <v>36</v>
      </c>
      <c r="C10" s="73" t="s">
        <v>37</v>
      </c>
      <c r="D10" s="60">
        <f t="shared" ref="D10:D75" si="6">COUNTIF($N10:$DR10,$L$2)+COUNTIF($N10:$DR10,$L$3)/2</f>
        <v>15.5</v>
      </c>
      <c r="E10" s="60">
        <f t="shared" ref="E10:E71" si="7">IF(C10="",0,SUMIFS($N10:$DR10,$N$7:$DR$7,$I$2,$N$6:$DR$6,1))</f>
        <v>31.5</v>
      </c>
      <c r="F10" s="60">
        <f t="shared" si="0"/>
        <v>1.5</v>
      </c>
      <c r="G10" s="60">
        <f t="shared" si="1"/>
        <v>0</v>
      </c>
      <c r="H10" s="60">
        <f t="shared" si="2"/>
        <v>10</v>
      </c>
      <c r="I10" s="60">
        <f t="shared" ref="I10:I62" si="8">COUNTIF($N10:$DR10,$R$2)</f>
        <v>0</v>
      </c>
      <c r="J10" s="60">
        <f>COUNTIF($N10:$DR10,$O$3)</f>
        <v>1</v>
      </c>
      <c r="K10" s="60">
        <f t="shared" ref="K10:K62" si="9">COUNTIF($N10:$DQ10,$R$1)</f>
        <v>0</v>
      </c>
      <c r="L10" s="60">
        <f>COUNTIF($N10:$DQ10,$O$2)</f>
        <v>1</v>
      </c>
      <c r="M10" s="60">
        <f t="shared" si="5"/>
        <v>0</v>
      </c>
      <c r="N10" s="61" t="s">
        <v>458</v>
      </c>
      <c r="O10" s="61"/>
      <c r="P10" s="61">
        <v>1</v>
      </c>
      <c r="Q10" s="61"/>
      <c r="R10" s="61" t="s">
        <v>458</v>
      </c>
      <c r="S10" s="61"/>
      <c r="T10" s="61">
        <v>4.5</v>
      </c>
      <c r="U10" s="61">
        <v>1.5</v>
      </c>
      <c r="V10" s="68"/>
      <c r="W10" s="61" t="s">
        <v>458</v>
      </c>
      <c r="X10" s="61"/>
      <c r="Y10" s="61">
        <v>4</v>
      </c>
      <c r="Z10" s="61"/>
      <c r="AA10" s="61" t="s">
        <v>458</v>
      </c>
      <c r="AB10" s="61"/>
      <c r="AC10" s="61">
        <v>0.5</v>
      </c>
      <c r="AD10" s="61"/>
      <c r="AE10" s="61" t="s">
        <v>458</v>
      </c>
      <c r="AF10" s="61"/>
      <c r="AG10" s="61"/>
      <c r="AH10" s="61"/>
      <c r="AI10" s="61" t="s">
        <v>478</v>
      </c>
      <c r="AJ10" s="61"/>
      <c r="AK10" s="61">
        <v>3.5</v>
      </c>
      <c r="AL10" s="61"/>
      <c r="AM10" s="61" t="s">
        <v>458</v>
      </c>
      <c r="AN10" s="61"/>
      <c r="AO10" s="61">
        <v>3.5</v>
      </c>
      <c r="AP10" s="61"/>
      <c r="AQ10" s="61" t="s">
        <v>458</v>
      </c>
      <c r="AR10" s="61"/>
      <c r="AS10" s="61"/>
      <c r="AT10" s="61"/>
      <c r="AU10" s="68"/>
      <c r="AV10" s="61" t="s">
        <v>458</v>
      </c>
      <c r="AW10" s="61"/>
      <c r="AX10" s="61">
        <f>21-17-0.5</f>
        <v>3.5</v>
      </c>
      <c r="AY10" s="61"/>
      <c r="AZ10" s="61" t="s">
        <v>458</v>
      </c>
      <c r="BA10" s="61"/>
      <c r="BB10" s="80"/>
      <c r="BC10" s="61"/>
      <c r="BD10" s="61" t="s">
        <v>458</v>
      </c>
      <c r="BE10" s="61"/>
      <c r="BF10" s="77">
        <v>3.5</v>
      </c>
      <c r="BG10" s="61"/>
      <c r="BH10" s="61" t="s">
        <v>458</v>
      </c>
      <c r="BI10" s="61"/>
      <c r="BJ10" s="61">
        <v>3.5</v>
      </c>
      <c r="BK10" s="61"/>
      <c r="BL10" s="61" t="s">
        <v>458</v>
      </c>
      <c r="BM10" s="61"/>
      <c r="BN10" s="77">
        <v>4</v>
      </c>
      <c r="BO10" s="61"/>
      <c r="BP10" s="61"/>
      <c r="BQ10" s="61"/>
      <c r="BR10" s="61"/>
      <c r="BS10" s="61"/>
      <c r="BT10" s="68">
        <v>10</v>
      </c>
      <c r="BU10" s="61" t="s">
        <v>458</v>
      </c>
      <c r="BV10" s="61"/>
      <c r="BW10" s="61"/>
      <c r="BX10" s="61"/>
      <c r="BY10" s="61" t="s">
        <v>13</v>
      </c>
      <c r="BZ10" s="61"/>
      <c r="CA10" s="61"/>
      <c r="CB10" s="61"/>
      <c r="CC10" s="61"/>
      <c r="CD10" s="61"/>
      <c r="CE10" s="61"/>
      <c r="CF10" s="61"/>
      <c r="CG10" s="61" t="s">
        <v>458</v>
      </c>
      <c r="CH10" s="61"/>
      <c r="CI10" s="61"/>
      <c r="CJ10" s="61"/>
      <c r="CK10" s="61" t="s">
        <v>462</v>
      </c>
      <c r="CL10" s="61"/>
      <c r="CM10" s="86"/>
      <c r="CN10" s="61"/>
      <c r="CO10" s="61" t="s">
        <v>458</v>
      </c>
      <c r="CP10" s="61"/>
      <c r="CQ10" s="61"/>
      <c r="CR10" s="61"/>
      <c r="CS10" s="68"/>
      <c r="CT10" s="61"/>
      <c r="CU10" s="61"/>
      <c r="CV10" s="61"/>
      <c r="CW10" s="61"/>
      <c r="CX10" s="61"/>
      <c r="CY10" s="61"/>
      <c r="CZ10" s="86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80"/>
      <c r="DM10" s="61"/>
      <c r="DN10" s="61"/>
      <c r="DO10" s="61"/>
      <c r="DP10" s="61"/>
      <c r="DQ10" s="61"/>
      <c r="DR10" s="68"/>
    </row>
    <row r="11" spans="1:122" x14ac:dyDescent="0.25">
      <c r="A11" s="59">
        <v>3</v>
      </c>
      <c r="B11" s="72" t="s">
        <v>38</v>
      </c>
      <c r="C11" s="73" t="s">
        <v>39</v>
      </c>
      <c r="D11" s="60">
        <f t="shared" si="6"/>
        <v>16.5</v>
      </c>
      <c r="E11" s="60">
        <f t="shared" si="7"/>
        <v>32.5</v>
      </c>
      <c r="F11" s="60">
        <f t="shared" si="0"/>
        <v>0</v>
      </c>
      <c r="G11" s="60">
        <f t="shared" si="1"/>
        <v>0</v>
      </c>
      <c r="H11" s="60">
        <f t="shared" si="2"/>
        <v>0</v>
      </c>
      <c r="I11" s="60">
        <f t="shared" si="8"/>
        <v>0</v>
      </c>
      <c r="J11" s="60">
        <f t="shared" si="3"/>
        <v>0</v>
      </c>
      <c r="K11" s="60">
        <f t="shared" si="9"/>
        <v>0</v>
      </c>
      <c r="L11" s="60">
        <f t="shared" si="4"/>
        <v>1</v>
      </c>
      <c r="M11" s="60">
        <f t="shared" si="5"/>
        <v>0</v>
      </c>
      <c r="N11" s="62" t="s">
        <v>458</v>
      </c>
      <c r="O11" s="61"/>
      <c r="P11" s="62">
        <v>1</v>
      </c>
      <c r="Q11" s="62"/>
      <c r="R11" s="62" t="s">
        <v>458</v>
      </c>
      <c r="S11" s="62"/>
      <c r="T11" s="62">
        <v>3.5</v>
      </c>
      <c r="U11" s="62"/>
      <c r="V11" s="69"/>
      <c r="W11" s="62" t="s">
        <v>458</v>
      </c>
      <c r="X11" s="62"/>
      <c r="Y11" s="62">
        <v>3.5</v>
      </c>
      <c r="Z11" s="62"/>
      <c r="AA11" s="62" t="s">
        <v>458</v>
      </c>
      <c r="AB11" s="62"/>
      <c r="AC11" s="62">
        <v>5</v>
      </c>
      <c r="AD11" s="62"/>
      <c r="AE11" s="62" t="s">
        <v>458</v>
      </c>
      <c r="AF11" s="62"/>
      <c r="AG11" s="62"/>
      <c r="AH11" s="62"/>
      <c r="AI11" s="62" t="s">
        <v>458</v>
      </c>
      <c r="AJ11" s="62"/>
      <c r="AK11" s="62">
        <v>3.5</v>
      </c>
      <c r="AL11" s="62"/>
      <c r="AM11" s="62" t="s">
        <v>458</v>
      </c>
      <c r="AN11" s="62"/>
      <c r="AO11" s="62">
        <v>3.5</v>
      </c>
      <c r="AP11" s="62"/>
      <c r="AQ11" s="62" t="s">
        <v>458</v>
      </c>
      <c r="AR11" s="62"/>
      <c r="AS11" s="62"/>
      <c r="AT11" s="62"/>
      <c r="AU11" s="69"/>
      <c r="AV11" s="62" t="s">
        <v>458</v>
      </c>
      <c r="AW11" s="62"/>
      <c r="AX11" s="62">
        <v>3.5</v>
      </c>
      <c r="AY11" s="62"/>
      <c r="AZ11" s="62" t="s">
        <v>458</v>
      </c>
      <c r="BA11" s="62"/>
      <c r="BB11" s="81"/>
      <c r="BC11" s="62"/>
      <c r="BD11" s="62" t="s">
        <v>478</v>
      </c>
      <c r="BE11" s="62"/>
      <c r="BF11" s="78">
        <v>3.5</v>
      </c>
      <c r="BG11" s="62"/>
      <c r="BH11" s="62" t="s">
        <v>458</v>
      </c>
      <c r="BI11" s="62"/>
      <c r="BJ11" s="62">
        <v>3.5</v>
      </c>
      <c r="BK11" s="62"/>
      <c r="BL11" s="62" t="s">
        <v>458</v>
      </c>
      <c r="BM11" s="62"/>
      <c r="BN11" s="78"/>
      <c r="BO11" s="62"/>
      <c r="BP11" s="62" t="s">
        <v>458</v>
      </c>
      <c r="BQ11" s="62"/>
      <c r="BR11" s="62"/>
      <c r="BS11" s="62"/>
      <c r="BT11" s="69"/>
      <c r="BU11" s="62" t="s">
        <v>458</v>
      </c>
      <c r="BV11" s="62"/>
      <c r="BW11" s="62">
        <v>1</v>
      </c>
      <c r="BX11" s="62"/>
      <c r="BY11" s="62" t="s">
        <v>458</v>
      </c>
      <c r="BZ11" s="62"/>
      <c r="CA11" s="62">
        <v>1</v>
      </c>
      <c r="CB11" s="62"/>
      <c r="CC11" s="62"/>
      <c r="CD11" s="62"/>
      <c r="CE11" s="62"/>
      <c r="CF11" s="62"/>
      <c r="CG11" s="62" t="s">
        <v>458</v>
      </c>
      <c r="CH11" s="62"/>
      <c r="CI11" s="62"/>
      <c r="CJ11" s="62"/>
      <c r="CK11" s="62" t="s">
        <v>462</v>
      </c>
      <c r="CL11" s="62"/>
      <c r="CM11" s="87"/>
      <c r="CN11" s="62"/>
      <c r="CO11" s="62"/>
      <c r="CP11" s="62"/>
      <c r="CQ11" s="62"/>
      <c r="CR11" s="62"/>
      <c r="CS11" s="69"/>
      <c r="CT11" s="62"/>
      <c r="CU11" s="62"/>
      <c r="CV11" s="62"/>
      <c r="CW11" s="62"/>
      <c r="CX11" s="62"/>
      <c r="CY11" s="62"/>
      <c r="CZ11" s="87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81"/>
      <c r="DM11" s="62"/>
      <c r="DN11" s="62"/>
      <c r="DO11" s="62"/>
      <c r="DP11" s="62"/>
      <c r="DQ11" s="62"/>
      <c r="DR11" s="69"/>
    </row>
    <row r="12" spans="1:122" x14ac:dyDescent="0.25">
      <c r="A12" s="59">
        <v>4</v>
      </c>
      <c r="B12" s="72" t="s">
        <v>40</v>
      </c>
      <c r="C12" s="73" t="s">
        <v>41</v>
      </c>
      <c r="D12" s="60">
        <f t="shared" si="6"/>
        <v>26</v>
      </c>
      <c r="E12" s="60">
        <f t="shared" si="7"/>
        <v>89.7</v>
      </c>
      <c r="F12" s="60">
        <f t="shared" si="0"/>
        <v>2.8</v>
      </c>
      <c r="G12" s="60">
        <f t="shared" si="1"/>
        <v>0.5</v>
      </c>
      <c r="H12" s="60">
        <f t="shared" si="2"/>
        <v>36.200000000000003</v>
      </c>
      <c r="I12" s="60">
        <f t="shared" si="8"/>
        <v>0</v>
      </c>
      <c r="J12" s="60">
        <f t="shared" si="3"/>
        <v>0</v>
      </c>
      <c r="K12" s="60">
        <f t="shared" si="9"/>
        <v>0</v>
      </c>
      <c r="L12" s="60">
        <f t="shared" si="4"/>
        <v>0</v>
      </c>
      <c r="M12" s="60">
        <f t="shared" si="5"/>
        <v>0</v>
      </c>
      <c r="N12" s="61" t="s">
        <v>458</v>
      </c>
      <c r="O12" s="61"/>
      <c r="P12" s="61">
        <v>2.5</v>
      </c>
      <c r="Q12" s="61"/>
      <c r="R12" s="61" t="s">
        <v>458</v>
      </c>
      <c r="S12" s="61"/>
      <c r="T12" s="61">
        <v>4.5</v>
      </c>
      <c r="U12" s="61">
        <v>1.5</v>
      </c>
      <c r="V12" s="68"/>
      <c r="W12" s="61" t="s">
        <v>458</v>
      </c>
      <c r="X12" s="61"/>
      <c r="Y12" s="61">
        <v>4.5</v>
      </c>
      <c r="Z12" s="61"/>
      <c r="AA12" s="61" t="s">
        <v>458</v>
      </c>
      <c r="AB12" s="61"/>
      <c r="AC12" s="61">
        <v>5</v>
      </c>
      <c r="AD12" s="61"/>
      <c r="AE12" s="61" t="s">
        <v>458</v>
      </c>
      <c r="AF12" s="61"/>
      <c r="AG12" s="61">
        <v>4.5</v>
      </c>
      <c r="AH12" s="61"/>
      <c r="AI12" s="61" t="s">
        <v>458</v>
      </c>
      <c r="AJ12" s="61"/>
      <c r="AK12" s="61">
        <v>3.5</v>
      </c>
      <c r="AL12" s="61"/>
      <c r="AM12" s="61" t="s">
        <v>458</v>
      </c>
      <c r="AN12" s="61"/>
      <c r="AO12" s="61">
        <v>4.5</v>
      </c>
      <c r="AP12" s="61"/>
      <c r="AQ12" s="61" t="s">
        <v>458</v>
      </c>
      <c r="AR12" s="61"/>
      <c r="AS12" s="61">
        <v>4</v>
      </c>
      <c r="AT12" s="61"/>
      <c r="AU12" s="68">
        <v>8.6999999999999993</v>
      </c>
      <c r="AV12" s="61" t="s">
        <v>458</v>
      </c>
      <c r="AW12" s="61">
        <v>0.5</v>
      </c>
      <c r="AX12" s="61">
        <v>4.5</v>
      </c>
      <c r="AY12" s="61">
        <v>0.8</v>
      </c>
      <c r="AZ12" s="61" t="s">
        <v>458</v>
      </c>
      <c r="BA12" s="61"/>
      <c r="BB12" s="80">
        <v>4</v>
      </c>
      <c r="BC12" s="61"/>
      <c r="BD12" s="61" t="s">
        <v>458</v>
      </c>
      <c r="BE12" s="61"/>
      <c r="BF12" s="77"/>
      <c r="BG12" s="61"/>
      <c r="BH12" s="61" t="s">
        <v>458</v>
      </c>
      <c r="BI12" s="61"/>
      <c r="BJ12" s="61">
        <v>4</v>
      </c>
      <c r="BK12" s="61"/>
      <c r="BL12" s="61" t="s">
        <v>458</v>
      </c>
      <c r="BM12" s="61"/>
      <c r="BN12" s="77">
        <v>4.5</v>
      </c>
      <c r="BO12" s="61"/>
      <c r="BP12" s="61" t="s">
        <v>458</v>
      </c>
      <c r="BQ12" s="61"/>
      <c r="BR12" s="61">
        <v>4.5</v>
      </c>
      <c r="BS12" s="61"/>
      <c r="BT12" s="68">
        <v>10</v>
      </c>
      <c r="BU12" s="61" t="s">
        <v>458</v>
      </c>
      <c r="BV12" s="61"/>
      <c r="BW12" s="61"/>
      <c r="BX12" s="61"/>
      <c r="BY12" s="61" t="s">
        <v>458</v>
      </c>
      <c r="BZ12" s="61"/>
      <c r="CA12" s="61">
        <f>21-17.5</f>
        <v>3.5</v>
      </c>
      <c r="CB12" s="61"/>
      <c r="CC12" s="61" t="s">
        <v>458</v>
      </c>
      <c r="CD12" s="61"/>
      <c r="CE12" s="61">
        <v>4.5</v>
      </c>
      <c r="CF12" s="61"/>
      <c r="CG12" s="61" t="s">
        <v>458</v>
      </c>
      <c r="CH12" s="61"/>
      <c r="CI12" s="61">
        <f>21.7-17.5</f>
        <v>4.1999999999999993</v>
      </c>
      <c r="CJ12" s="61"/>
      <c r="CK12" s="61" t="s">
        <v>458</v>
      </c>
      <c r="CL12" s="61"/>
      <c r="CM12" s="86">
        <v>4.5</v>
      </c>
      <c r="CN12" s="61">
        <v>0.5</v>
      </c>
      <c r="CO12" s="61" t="s">
        <v>458</v>
      </c>
      <c r="CP12" s="61"/>
      <c r="CQ12" s="61">
        <v>1</v>
      </c>
      <c r="CR12" s="61"/>
      <c r="CS12" s="68">
        <v>8.5</v>
      </c>
      <c r="CT12" s="61" t="s">
        <v>458</v>
      </c>
      <c r="CU12" s="61"/>
      <c r="CV12" s="61"/>
      <c r="CW12" s="61"/>
      <c r="CX12" s="61" t="s">
        <v>458</v>
      </c>
      <c r="CY12" s="61"/>
      <c r="CZ12" s="86">
        <v>4</v>
      </c>
      <c r="DA12" s="61"/>
      <c r="DB12" s="61" t="s">
        <v>458</v>
      </c>
      <c r="DC12" s="61"/>
      <c r="DD12" s="61">
        <f>19.5-17.5</f>
        <v>2</v>
      </c>
      <c r="DE12" s="61"/>
      <c r="DF12" s="61" t="s">
        <v>458</v>
      </c>
      <c r="DG12" s="61"/>
      <c r="DH12" s="61">
        <v>3.5</v>
      </c>
      <c r="DI12" s="61"/>
      <c r="DJ12" s="61" t="s">
        <v>458</v>
      </c>
      <c r="DK12" s="61"/>
      <c r="DL12" s="80">
        <v>4</v>
      </c>
      <c r="DM12" s="61"/>
      <c r="DN12" s="61" t="s">
        <v>458</v>
      </c>
      <c r="DO12" s="61"/>
      <c r="DP12" s="61">
        <v>4</v>
      </c>
      <c r="DQ12" s="61"/>
      <c r="DR12" s="68">
        <v>9</v>
      </c>
    </row>
    <row r="13" spans="1:122" x14ac:dyDescent="0.25">
      <c r="A13" s="59">
        <v>5</v>
      </c>
      <c r="B13" s="72" t="s">
        <v>42</v>
      </c>
      <c r="C13" s="73" t="s">
        <v>43</v>
      </c>
      <c r="D13" s="60">
        <f t="shared" si="6"/>
        <v>26</v>
      </c>
      <c r="E13" s="60">
        <f t="shared" si="7"/>
        <v>66.7</v>
      </c>
      <c r="F13" s="60">
        <f t="shared" si="0"/>
        <v>0.5</v>
      </c>
      <c r="G13" s="60">
        <f t="shared" si="1"/>
        <v>0</v>
      </c>
      <c r="H13" s="60">
        <f t="shared" si="2"/>
        <v>0</v>
      </c>
      <c r="I13" s="60">
        <f t="shared" si="8"/>
        <v>0</v>
      </c>
      <c r="J13" s="60">
        <f t="shared" si="3"/>
        <v>0</v>
      </c>
      <c r="K13" s="60">
        <f t="shared" si="9"/>
        <v>0</v>
      </c>
      <c r="L13" s="60">
        <f t="shared" si="4"/>
        <v>0</v>
      </c>
      <c r="M13" s="60">
        <f t="shared" si="5"/>
        <v>0</v>
      </c>
      <c r="N13" s="61" t="s">
        <v>458</v>
      </c>
      <c r="O13" s="61"/>
      <c r="P13" s="61">
        <v>1</v>
      </c>
      <c r="Q13" s="61"/>
      <c r="R13" s="61" t="s">
        <v>458</v>
      </c>
      <c r="S13" s="61"/>
      <c r="T13" s="61">
        <v>3.5</v>
      </c>
      <c r="U13" s="61"/>
      <c r="V13" s="68"/>
      <c r="W13" s="61" t="s">
        <v>458</v>
      </c>
      <c r="X13" s="61"/>
      <c r="Y13" s="61">
        <v>3.5</v>
      </c>
      <c r="Z13" s="61"/>
      <c r="AA13" s="61" t="s">
        <v>458</v>
      </c>
      <c r="AB13" s="61"/>
      <c r="AC13" s="61"/>
      <c r="AD13" s="61"/>
      <c r="AE13" s="61" t="s">
        <v>458</v>
      </c>
      <c r="AF13" s="61"/>
      <c r="AG13" s="61"/>
      <c r="AH13" s="61"/>
      <c r="AI13" s="61" t="s">
        <v>458</v>
      </c>
      <c r="AJ13" s="61"/>
      <c r="AK13" s="61"/>
      <c r="AL13" s="61"/>
      <c r="AM13" s="61" t="s">
        <v>458</v>
      </c>
      <c r="AN13" s="61"/>
      <c r="AO13" s="61">
        <v>3.5</v>
      </c>
      <c r="AP13" s="61"/>
      <c r="AQ13" s="61" t="s">
        <v>458</v>
      </c>
      <c r="AR13" s="61"/>
      <c r="AS13" s="61"/>
      <c r="AT13" s="61"/>
      <c r="AU13" s="68"/>
      <c r="AV13" s="61" t="s">
        <v>458</v>
      </c>
      <c r="AW13" s="61"/>
      <c r="AX13" s="61">
        <v>4.5</v>
      </c>
      <c r="AY13" s="61"/>
      <c r="AZ13" s="61" t="s">
        <v>458</v>
      </c>
      <c r="BA13" s="61"/>
      <c r="BB13" s="80">
        <f>21.5-17.5</f>
        <v>4</v>
      </c>
      <c r="BC13" s="61"/>
      <c r="BD13" s="61" t="s">
        <v>458</v>
      </c>
      <c r="BE13" s="61"/>
      <c r="BF13" s="77">
        <v>4</v>
      </c>
      <c r="BG13" s="61"/>
      <c r="BH13" s="61" t="s">
        <v>458</v>
      </c>
      <c r="BI13" s="61"/>
      <c r="BJ13" s="61">
        <v>3.5</v>
      </c>
      <c r="BK13" s="61"/>
      <c r="BL13" s="61" t="s">
        <v>458</v>
      </c>
      <c r="BM13" s="61"/>
      <c r="BN13" s="77">
        <v>4.5</v>
      </c>
      <c r="BO13" s="61"/>
      <c r="BP13" s="61" t="s">
        <v>458</v>
      </c>
      <c r="BQ13" s="61"/>
      <c r="BR13" s="61">
        <v>4.5</v>
      </c>
      <c r="BS13" s="61"/>
      <c r="BT13" s="68"/>
      <c r="BU13" s="61" t="s">
        <v>458</v>
      </c>
      <c r="BV13" s="61"/>
      <c r="BW13" s="61">
        <v>2.5</v>
      </c>
      <c r="BX13" s="61"/>
      <c r="BY13" s="61" t="s">
        <v>458</v>
      </c>
      <c r="BZ13" s="61"/>
      <c r="CA13" s="61"/>
      <c r="CB13" s="61"/>
      <c r="CC13" s="61" t="s">
        <v>458</v>
      </c>
      <c r="CD13" s="61"/>
      <c r="CE13" s="61">
        <v>4</v>
      </c>
      <c r="CF13" s="61"/>
      <c r="CG13" s="61" t="s">
        <v>458</v>
      </c>
      <c r="CH13" s="61"/>
      <c r="CI13" s="61">
        <v>4.2</v>
      </c>
      <c r="CJ13" s="61"/>
      <c r="CK13" s="61" t="s">
        <v>458</v>
      </c>
      <c r="CL13" s="61"/>
      <c r="CM13" s="86">
        <v>4.5</v>
      </c>
      <c r="CN13" s="61">
        <v>0.5</v>
      </c>
      <c r="CO13" s="61" t="s">
        <v>458</v>
      </c>
      <c r="CP13" s="61"/>
      <c r="CQ13" s="61"/>
      <c r="CR13" s="61"/>
      <c r="CS13" s="68"/>
      <c r="CT13" s="61" t="s">
        <v>458</v>
      </c>
      <c r="CU13" s="61"/>
      <c r="CV13" s="61">
        <f>21.5-17.5</f>
        <v>4</v>
      </c>
      <c r="CW13" s="61"/>
      <c r="CX13" s="61" t="s">
        <v>458</v>
      </c>
      <c r="CY13" s="61"/>
      <c r="CZ13" s="86">
        <f>21.5-17.5</f>
        <v>4</v>
      </c>
      <c r="DA13" s="61"/>
      <c r="DB13" s="61" t="s">
        <v>458</v>
      </c>
      <c r="DC13" s="61"/>
      <c r="DD13" s="61">
        <v>2.5</v>
      </c>
      <c r="DE13" s="61"/>
      <c r="DF13" s="61" t="s">
        <v>458</v>
      </c>
      <c r="DG13" s="61"/>
      <c r="DH13" s="61"/>
      <c r="DI13" s="61"/>
      <c r="DJ13" s="61" t="s">
        <v>458</v>
      </c>
      <c r="DK13" s="61"/>
      <c r="DL13" s="80">
        <v>4</v>
      </c>
      <c r="DM13" s="61"/>
      <c r="DN13" s="61" t="s">
        <v>458</v>
      </c>
      <c r="DO13" s="61"/>
      <c r="DP13" s="61">
        <v>0.5</v>
      </c>
      <c r="DQ13" s="61"/>
      <c r="DR13" s="68"/>
    </row>
    <row r="14" spans="1:122" x14ac:dyDescent="0.25">
      <c r="A14" s="59">
        <v>6</v>
      </c>
      <c r="B14" s="72" t="s">
        <v>44</v>
      </c>
      <c r="C14" s="73" t="s">
        <v>45</v>
      </c>
      <c r="D14" s="60">
        <f t="shared" si="6"/>
        <v>25.5</v>
      </c>
      <c r="E14" s="60">
        <f t="shared" si="7"/>
        <v>83.5</v>
      </c>
      <c r="F14" s="60">
        <f t="shared" si="0"/>
        <v>0</v>
      </c>
      <c r="G14" s="60">
        <f t="shared" si="1"/>
        <v>0</v>
      </c>
      <c r="H14" s="60">
        <f t="shared" si="2"/>
        <v>40.5</v>
      </c>
      <c r="I14" s="60">
        <f t="shared" si="8"/>
        <v>0</v>
      </c>
      <c r="J14" s="60">
        <f t="shared" si="3"/>
        <v>0</v>
      </c>
      <c r="K14" s="60">
        <f t="shared" si="9"/>
        <v>0</v>
      </c>
      <c r="L14" s="60">
        <f t="shared" si="4"/>
        <v>0</v>
      </c>
      <c r="M14" s="60">
        <f t="shared" si="5"/>
        <v>0</v>
      </c>
      <c r="N14" s="62" t="s">
        <v>458</v>
      </c>
      <c r="O14" s="61"/>
      <c r="P14" s="62">
        <f>21-17.5</f>
        <v>3.5</v>
      </c>
      <c r="Q14" s="62"/>
      <c r="R14" s="62" t="s">
        <v>458</v>
      </c>
      <c r="S14" s="62"/>
      <c r="T14" s="62">
        <v>3.5</v>
      </c>
      <c r="U14" s="62"/>
      <c r="V14" s="69">
        <v>5.5</v>
      </c>
      <c r="W14" s="62" t="s">
        <v>458</v>
      </c>
      <c r="X14" s="62"/>
      <c r="Y14" s="62">
        <v>3.5</v>
      </c>
      <c r="Z14" s="62"/>
      <c r="AA14" s="62" t="s">
        <v>458</v>
      </c>
      <c r="AB14" s="62"/>
      <c r="AC14" s="62">
        <v>5</v>
      </c>
      <c r="AD14" s="62"/>
      <c r="AE14" s="62" t="s">
        <v>478</v>
      </c>
      <c r="AF14" s="62"/>
      <c r="AG14" s="62">
        <f>21.5-17.5</f>
        <v>4</v>
      </c>
      <c r="AH14" s="62"/>
      <c r="AI14" s="62" t="s">
        <v>458</v>
      </c>
      <c r="AJ14" s="62"/>
      <c r="AK14" s="62"/>
      <c r="AL14" s="62"/>
      <c r="AM14" s="62" t="s">
        <v>458</v>
      </c>
      <c r="AN14" s="62"/>
      <c r="AO14" s="62">
        <v>3.5</v>
      </c>
      <c r="AP14" s="62"/>
      <c r="AQ14" s="62" t="s">
        <v>458</v>
      </c>
      <c r="AR14" s="62"/>
      <c r="AS14" s="62">
        <v>3.5</v>
      </c>
      <c r="AT14" s="62"/>
      <c r="AU14" s="69">
        <v>8.5</v>
      </c>
      <c r="AV14" s="62" t="s">
        <v>458</v>
      </c>
      <c r="AW14" s="62"/>
      <c r="AX14" s="62">
        <v>4.5</v>
      </c>
      <c r="AY14" s="62"/>
      <c r="AZ14" s="62" t="s">
        <v>458</v>
      </c>
      <c r="BA14" s="62"/>
      <c r="BB14" s="81">
        <v>3.5</v>
      </c>
      <c r="BC14" s="62"/>
      <c r="BD14" s="62" t="s">
        <v>458</v>
      </c>
      <c r="BE14" s="62"/>
      <c r="BF14" s="78">
        <v>4</v>
      </c>
      <c r="BG14" s="62"/>
      <c r="BH14" s="62" t="s">
        <v>458</v>
      </c>
      <c r="BI14" s="62"/>
      <c r="BJ14" s="62">
        <v>3.5</v>
      </c>
      <c r="BK14" s="62"/>
      <c r="BL14" s="62" t="s">
        <v>458</v>
      </c>
      <c r="BM14" s="62"/>
      <c r="BN14" s="78">
        <v>1</v>
      </c>
      <c r="BO14" s="62"/>
      <c r="BP14" s="62" t="s">
        <v>458</v>
      </c>
      <c r="BQ14" s="62"/>
      <c r="BR14" s="62">
        <v>3.5</v>
      </c>
      <c r="BS14" s="62"/>
      <c r="BT14" s="69">
        <v>10</v>
      </c>
      <c r="BU14" s="62" t="s">
        <v>458</v>
      </c>
      <c r="BV14" s="62"/>
      <c r="BW14" s="62">
        <v>1</v>
      </c>
      <c r="BX14" s="62"/>
      <c r="BY14" s="62" t="s">
        <v>458</v>
      </c>
      <c r="BZ14" s="62"/>
      <c r="CA14" s="62">
        <v>3.5</v>
      </c>
      <c r="CB14" s="62"/>
      <c r="CC14" s="62" t="s">
        <v>458</v>
      </c>
      <c r="CD14" s="62"/>
      <c r="CE14" s="62">
        <v>3.5</v>
      </c>
      <c r="CF14" s="62"/>
      <c r="CG14" s="62" t="s">
        <v>458</v>
      </c>
      <c r="CH14" s="62"/>
      <c r="CI14" s="62">
        <v>3.5</v>
      </c>
      <c r="CJ14" s="62"/>
      <c r="CK14" s="62" t="s">
        <v>458</v>
      </c>
      <c r="CL14" s="62"/>
      <c r="CM14" s="87">
        <f>21.5-17.5</f>
        <v>4</v>
      </c>
      <c r="CN14" s="62"/>
      <c r="CO14" s="62" t="s">
        <v>458</v>
      </c>
      <c r="CP14" s="62"/>
      <c r="CQ14" s="62">
        <v>1</v>
      </c>
      <c r="CR14" s="62"/>
      <c r="CS14" s="69">
        <v>8.5</v>
      </c>
      <c r="CT14" s="62" t="s">
        <v>458</v>
      </c>
      <c r="CU14" s="62"/>
      <c r="CV14" s="62">
        <v>3.5</v>
      </c>
      <c r="CW14" s="62"/>
      <c r="CX14" s="62" t="s">
        <v>458</v>
      </c>
      <c r="CY14" s="62"/>
      <c r="CZ14" s="87">
        <v>4</v>
      </c>
      <c r="DA14" s="62"/>
      <c r="DB14" s="62" t="s">
        <v>458</v>
      </c>
      <c r="DC14" s="62"/>
      <c r="DD14" s="62">
        <v>2</v>
      </c>
      <c r="DE14" s="62"/>
      <c r="DF14" s="62" t="s">
        <v>458</v>
      </c>
      <c r="DG14" s="62"/>
      <c r="DH14" s="62">
        <v>3.5</v>
      </c>
      <c r="DI14" s="62"/>
      <c r="DJ14" s="62" t="s">
        <v>458</v>
      </c>
      <c r="DK14" s="62"/>
      <c r="DL14" s="81">
        <f>21.5-17.5</f>
        <v>4</v>
      </c>
      <c r="DM14" s="62"/>
      <c r="DN14" s="62" t="s">
        <v>458</v>
      </c>
      <c r="DO14" s="62"/>
      <c r="DP14" s="62">
        <f>21-17.5</f>
        <v>3.5</v>
      </c>
      <c r="DQ14" s="62"/>
      <c r="DR14" s="69">
        <v>8</v>
      </c>
    </row>
    <row r="15" spans="1:122" ht="12" customHeight="1" x14ac:dyDescent="0.25">
      <c r="A15" s="59">
        <v>7</v>
      </c>
      <c r="B15" s="72" t="s">
        <v>46</v>
      </c>
      <c r="C15" s="73" t="s">
        <v>465</v>
      </c>
      <c r="D15" s="60">
        <f t="shared" si="6"/>
        <v>25.5</v>
      </c>
      <c r="E15" s="60">
        <f t="shared" si="7"/>
        <v>81.5</v>
      </c>
      <c r="F15" s="60">
        <f t="shared" si="0"/>
        <v>0</v>
      </c>
      <c r="G15" s="60">
        <f t="shared" si="1"/>
        <v>0</v>
      </c>
      <c r="H15" s="60">
        <f t="shared" si="2"/>
        <v>40.5</v>
      </c>
      <c r="I15" s="60">
        <f t="shared" si="8"/>
        <v>0</v>
      </c>
      <c r="J15" s="60">
        <f t="shared" si="3"/>
        <v>0</v>
      </c>
      <c r="K15" s="60">
        <f t="shared" si="9"/>
        <v>0</v>
      </c>
      <c r="L15" s="60">
        <f t="shared" si="4"/>
        <v>0</v>
      </c>
      <c r="M15" s="60">
        <f t="shared" si="5"/>
        <v>0</v>
      </c>
      <c r="N15" s="62" t="s">
        <v>458</v>
      </c>
      <c r="O15" s="61"/>
      <c r="P15" s="62">
        <v>3.5</v>
      </c>
      <c r="Q15" s="62"/>
      <c r="R15" s="62" t="s">
        <v>458</v>
      </c>
      <c r="S15" s="62"/>
      <c r="T15" s="62">
        <v>3.5</v>
      </c>
      <c r="U15" s="62"/>
      <c r="V15" s="69">
        <v>5.5</v>
      </c>
      <c r="W15" s="62" t="s">
        <v>458</v>
      </c>
      <c r="X15" s="62"/>
      <c r="Y15" s="62">
        <v>3.5</v>
      </c>
      <c r="Z15" s="62"/>
      <c r="AA15" s="62" t="s">
        <v>458</v>
      </c>
      <c r="AB15" s="62"/>
      <c r="AC15" s="62">
        <v>4</v>
      </c>
      <c r="AD15" s="62"/>
      <c r="AE15" s="62" t="s">
        <v>478</v>
      </c>
      <c r="AF15" s="62"/>
      <c r="AG15" s="62">
        <v>4</v>
      </c>
      <c r="AH15" s="62"/>
      <c r="AI15" s="62" t="s">
        <v>458</v>
      </c>
      <c r="AJ15" s="62"/>
      <c r="AK15" s="62"/>
      <c r="AL15" s="62"/>
      <c r="AM15" s="62" t="s">
        <v>458</v>
      </c>
      <c r="AN15" s="62"/>
      <c r="AO15" s="62">
        <v>3.5</v>
      </c>
      <c r="AP15" s="62"/>
      <c r="AQ15" s="62" t="s">
        <v>458</v>
      </c>
      <c r="AR15" s="62"/>
      <c r="AS15" s="62">
        <v>3.5</v>
      </c>
      <c r="AT15" s="62"/>
      <c r="AU15" s="69">
        <v>8.5</v>
      </c>
      <c r="AV15" s="62" t="s">
        <v>458</v>
      </c>
      <c r="AW15" s="62"/>
      <c r="AX15" s="62">
        <v>4.5</v>
      </c>
      <c r="AY15" s="62"/>
      <c r="AZ15" s="62" t="s">
        <v>458</v>
      </c>
      <c r="BA15" s="62"/>
      <c r="BB15" s="81">
        <v>3.5</v>
      </c>
      <c r="BC15" s="62"/>
      <c r="BD15" s="62" t="s">
        <v>458</v>
      </c>
      <c r="BE15" s="62"/>
      <c r="BF15" s="78">
        <v>4</v>
      </c>
      <c r="BG15" s="62"/>
      <c r="BH15" s="62" t="s">
        <v>458</v>
      </c>
      <c r="BI15" s="62"/>
      <c r="BJ15" s="62">
        <v>3.5</v>
      </c>
      <c r="BK15" s="62"/>
      <c r="BL15" s="62" t="s">
        <v>458</v>
      </c>
      <c r="BM15" s="62"/>
      <c r="BN15" s="78">
        <v>1</v>
      </c>
      <c r="BO15" s="62"/>
      <c r="BP15" s="62" t="s">
        <v>458</v>
      </c>
      <c r="BQ15" s="62"/>
      <c r="BR15" s="62">
        <v>3.5</v>
      </c>
      <c r="BS15" s="62"/>
      <c r="BT15" s="69">
        <v>10</v>
      </c>
      <c r="BU15" s="62" t="s">
        <v>458</v>
      </c>
      <c r="BV15" s="62"/>
      <c r="BW15" s="62"/>
      <c r="BX15" s="62"/>
      <c r="BY15" s="62" t="s">
        <v>458</v>
      </c>
      <c r="BZ15" s="62"/>
      <c r="CA15" s="62">
        <v>3.5</v>
      </c>
      <c r="CB15" s="62"/>
      <c r="CC15" s="62" t="s">
        <v>458</v>
      </c>
      <c r="CD15" s="62"/>
      <c r="CE15" s="62">
        <v>3.5</v>
      </c>
      <c r="CF15" s="62"/>
      <c r="CG15" s="62" t="s">
        <v>458</v>
      </c>
      <c r="CH15" s="62"/>
      <c r="CI15" s="62">
        <v>3.5</v>
      </c>
      <c r="CJ15" s="62"/>
      <c r="CK15" s="62" t="s">
        <v>458</v>
      </c>
      <c r="CL15" s="62"/>
      <c r="CM15" s="87">
        <v>4</v>
      </c>
      <c r="CN15" s="62"/>
      <c r="CO15" s="62" t="s">
        <v>458</v>
      </c>
      <c r="CP15" s="62"/>
      <c r="CQ15" s="62">
        <v>1</v>
      </c>
      <c r="CR15" s="62"/>
      <c r="CS15" s="69">
        <v>8.5</v>
      </c>
      <c r="CT15" s="62" t="s">
        <v>458</v>
      </c>
      <c r="CU15" s="62"/>
      <c r="CV15" s="62">
        <v>3.5</v>
      </c>
      <c r="CW15" s="62"/>
      <c r="CX15" s="62" t="s">
        <v>458</v>
      </c>
      <c r="CY15" s="62"/>
      <c r="CZ15" s="87">
        <v>4</v>
      </c>
      <c r="DA15" s="62"/>
      <c r="DB15" s="62" t="s">
        <v>458</v>
      </c>
      <c r="DC15" s="62"/>
      <c r="DD15" s="62">
        <v>2</v>
      </c>
      <c r="DE15" s="62"/>
      <c r="DF15" s="62" t="s">
        <v>458</v>
      </c>
      <c r="DG15" s="62"/>
      <c r="DH15" s="62">
        <v>3.5</v>
      </c>
      <c r="DI15" s="62"/>
      <c r="DJ15" s="62" t="s">
        <v>458</v>
      </c>
      <c r="DK15" s="62"/>
      <c r="DL15" s="81">
        <v>4</v>
      </c>
      <c r="DM15" s="62"/>
      <c r="DN15" s="62" t="s">
        <v>458</v>
      </c>
      <c r="DO15" s="62"/>
      <c r="DP15" s="62">
        <v>3.5</v>
      </c>
      <c r="DQ15" s="62"/>
      <c r="DR15" s="69">
        <v>8</v>
      </c>
    </row>
    <row r="16" spans="1:122" x14ac:dyDescent="0.25">
      <c r="A16" s="59">
        <v>8</v>
      </c>
      <c r="B16" s="72" t="s">
        <v>48</v>
      </c>
      <c r="C16" s="73" t="s">
        <v>49</v>
      </c>
      <c r="D16" s="60">
        <f>COUNTIF($N16:$DR16,$L$2)+COUNTIF($N16:$DR16,$L$3)/2</f>
        <v>24</v>
      </c>
      <c r="E16" s="60">
        <f t="shared" si="7"/>
        <v>23.5</v>
      </c>
      <c r="F16" s="60">
        <f t="shared" si="0"/>
        <v>0</v>
      </c>
      <c r="G16" s="60">
        <f t="shared" si="1"/>
        <v>0</v>
      </c>
      <c r="H16" s="60">
        <f t="shared" si="2"/>
        <v>13.5</v>
      </c>
      <c r="I16" s="60">
        <f t="shared" si="8"/>
        <v>0</v>
      </c>
      <c r="J16" s="60">
        <f>COUNTIF($N16:$DR16,$O$3)</f>
        <v>2</v>
      </c>
      <c r="K16" s="60">
        <f t="shared" si="9"/>
        <v>0</v>
      </c>
      <c r="L16" s="60">
        <f t="shared" si="4"/>
        <v>0</v>
      </c>
      <c r="M16" s="60">
        <f t="shared" si="5"/>
        <v>0</v>
      </c>
      <c r="N16" s="61" t="s">
        <v>458</v>
      </c>
      <c r="O16" s="61"/>
      <c r="P16" s="61">
        <v>1</v>
      </c>
      <c r="Q16" s="61"/>
      <c r="R16" s="61" t="s">
        <v>458</v>
      </c>
      <c r="S16" s="61"/>
      <c r="T16" s="61">
        <v>1</v>
      </c>
      <c r="U16" s="61"/>
      <c r="V16" s="68">
        <v>5.5</v>
      </c>
      <c r="W16" s="61" t="s">
        <v>458</v>
      </c>
      <c r="X16" s="61"/>
      <c r="Y16" s="61">
        <v>1</v>
      </c>
      <c r="Z16" s="61"/>
      <c r="AA16" s="61" t="s">
        <v>458</v>
      </c>
      <c r="AB16" s="61"/>
      <c r="AC16" s="61">
        <v>1</v>
      </c>
      <c r="AD16" s="61"/>
      <c r="AE16" s="61" t="s">
        <v>458</v>
      </c>
      <c r="AF16" s="61"/>
      <c r="AG16" s="61">
        <v>1</v>
      </c>
      <c r="AH16" s="61"/>
      <c r="AI16" s="61" t="s">
        <v>13</v>
      </c>
      <c r="AJ16" s="61"/>
      <c r="AK16" s="61"/>
      <c r="AL16" s="61"/>
      <c r="AM16" s="61" t="s">
        <v>458</v>
      </c>
      <c r="AN16" s="61"/>
      <c r="AO16" s="61">
        <v>1</v>
      </c>
      <c r="AP16" s="61"/>
      <c r="AQ16" s="61" t="s">
        <v>458</v>
      </c>
      <c r="AR16" s="61"/>
      <c r="AS16" s="61">
        <v>1</v>
      </c>
      <c r="AT16" s="61"/>
      <c r="AU16" s="68"/>
      <c r="AV16" s="61" t="s">
        <v>458</v>
      </c>
      <c r="AW16" s="61"/>
      <c r="AX16" s="61">
        <v>1</v>
      </c>
      <c r="AY16" s="61"/>
      <c r="AZ16" s="61" t="s">
        <v>458</v>
      </c>
      <c r="BA16" s="61"/>
      <c r="BB16" s="80">
        <v>1</v>
      </c>
      <c r="BC16" s="61"/>
      <c r="BD16" s="61" t="s">
        <v>458</v>
      </c>
      <c r="BE16" s="61"/>
      <c r="BF16" s="77">
        <v>1</v>
      </c>
      <c r="BG16" s="61"/>
      <c r="BH16" s="61" t="s">
        <v>458</v>
      </c>
      <c r="BI16" s="61"/>
      <c r="BJ16" s="61">
        <v>1</v>
      </c>
      <c r="BK16" s="61"/>
      <c r="BL16" s="61" t="s">
        <v>458</v>
      </c>
      <c r="BM16" s="61"/>
      <c r="BN16" s="77">
        <v>1</v>
      </c>
      <c r="BO16" s="61"/>
      <c r="BP16" s="61" t="s">
        <v>458</v>
      </c>
      <c r="BQ16" s="61"/>
      <c r="BR16" s="61">
        <v>1</v>
      </c>
      <c r="BS16" s="61"/>
      <c r="BT16" s="68">
        <v>8</v>
      </c>
      <c r="BU16" s="61" t="s">
        <v>13</v>
      </c>
      <c r="BV16" s="61"/>
      <c r="BW16" s="61"/>
      <c r="BX16" s="61"/>
      <c r="BY16" s="61" t="s">
        <v>458</v>
      </c>
      <c r="BZ16" s="61"/>
      <c r="CA16" s="61">
        <v>1</v>
      </c>
      <c r="CB16" s="61"/>
      <c r="CC16" s="61" t="s">
        <v>458</v>
      </c>
      <c r="CD16" s="61"/>
      <c r="CE16" s="61">
        <v>1</v>
      </c>
      <c r="CF16" s="61"/>
      <c r="CG16" s="61" t="s">
        <v>458</v>
      </c>
      <c r="CH16" s="61"/>
      <c r="CI16" s="61">
        <v>1</v>
      </c>
      <c r="CJ16" s="61"/>
      <c r="CK16" s="61" t="s">
        <v>458</v>
      </c>
      <c r="CL16" s="61"/>
      <c r="CM16" s="86">
        <v>1</v>
      </c>
      <c r="CN16" s="61"/>
      <c r="CO16" s="61" t="s">
        <v>458</v>
      </c>
      <c r="CP16" s="61"/>
      <c r="CQ16" s="61">
        <v>1</v>
      </c>
      <c r="CR16" s="61"/>
      <c r="CS16" s="68"/>
      <c r="CT16" s="61" t="s">
        <v>458</v>
      </c>
      <c r="CU16" s="61"/>
      <c r="CV16" s="61">
        <v>1</v>
      </c>
      <c r="CW16" s="61"/>
      <c r="CX16" s="61" t="s">
        <v>458</v>
      </c>
      <c r="CY16" s="61"/>
      <c r="CZ16" s="86">
        <v>1</v>
      </c>
      <c r="DA16" s="61"/>
      <c r="DB16" s="61" t="s">
        <v>458</v>
      </c>
      <c r="DC16" s="61"/>
      <c r="DD16" s="61">
        <v>0.5</v>
      </c>
      <c r="DE16" s="61"/>
      <c r="DF16" s="61" t="s">
        <v>458</v>
      </c>
      <c r="DG16" s="61"/>
      <c r="DH16" s="61">
        <v>1</v>
      </c>
      <c r="DI16" s="61"/>
      <c r="DJ16" s="61" t="s">
        <v>458</v>
      </c>
      <c r="DK16" s="61"/>
      <c r="DL16" s="80">
        <v>1</v>
      </c>
      <c r="DM16" s="61"/>
      <c r="DN16" s="61" t="s">
        <v>458</v>
      </c>
      <c r="DO16" s="61"/>
      <c r="DP16" s="61">
        <v>1</v>
      </c>
      <c r="DQ16" s="61"/>
      <c r="DR16" s="68"/>
    </row>
    <row r="17" spans="1:122" x14ac:dyDescent="0.25">
      <c r="A17" s="59">
        <v>9</v>
      </c>
      <c r="B17" s="72" t="s">
        <v>50</v>
      </c>
      <c r="C17" s="73" t="s">
        <v>51</v>
      </c>
      <c r="D17" s="60">
        <f t="shared" si="6"/>
        <v>26</v>
      </c>
      <c r="E17" s="60">
        <f t="shared" si="7"/>
        <v>52</v>
      </c>
      <c r="F17" s="60">
        <f t="shared" si="0"/>
        <v>1.5</v>
      </c>
      <c r="G17" s="60">
        <f t="shared" si="1"/>
        <v>0</v>
      </c>
      <c r="H17" s="60">
        <f t="shared" si="2"/>
        <v>0</v>
      </c>
      <c r="I17" s="60">
        <f t="shared" si="8"/>
        <v>0</v>
      </c>
      <c r="J17" s="60">
        <f t="shared" si="3"/>
        <v>0</v>
      </c>
      <c r="K17" s="60">
        <f t="shared" si="9"/>
        <v>0</v>
      </c>
      <c r="L17" s="60">
        <f t="shared" si="4"/>
        <v>0</v>
      </c>
      <c r="M17" s="60">
        <f t="shared" si="5"/>
        <v>0</v>
      </c>
      <c r="N17" s="62" t="s">
        <v>458</v>
      </c>
      <c r="O17" s="61"/>
      <c r="P17" s="62">
        <v>3.5</v>
      </c>
      <c r="Q17" s="62"/>
      <c r="R17" s="62" t="s">
        <v>458</v>
      </c>
      <c r="S17" s="62"/>
      <c r="T17" s="62">
        <v>4.5</v>
      </c>
      <c r="U17" s="62">
        <v>1.5</v>
      </c>
      <c r="V17" s="69"/>
      <c r="W17" s="62" t="s">
        <v>458</v>
      </c>
      <c r="X17" s="62"/>
      <c r="Y17" s="62">
        <v>3.5</v>
      </c>
      <c r="Z17" s="62"/>
      <c r="AA17" s="62" t="s">
        <v>458</v>
      </c>
      <c r="AB17" s="62"/>
      <c r="AC17" s="62">
        <v>4</v>
      </c>
      <c r="AD17" s="62"/>
      <c r="AE17" s="62" t="s">
        <v>458</v>
      </c>
      <c r="AF17" s="62"/>
      <c r="AG17" s="62">
        <v>4.5</v>
      </c>
      <c r="AH17" s="62"/>
      <c r="AI17" s="62" t="s">
        <v>458</v>
      </c>
      <c r="AJ17" s="62"/>
      <c r="AK17" s="62">
        <v>1</v>
      </c>
      <c r="AL17" s="62"/>
      <c r="AM17" s="62" t="s">
        <v>458</v>
      </c>
      <c r="AN17" s="62"/>
      <c r="AO17" s="62">
        <v>4.5</v>
      </c>
      <c r="AP17" s="62"/>
      <c r="AQ17" s="62" t="s">
        <v>458</v>
      </c>
      <c r="AR17" s="62"/>
      <c r="AS17" s="62">
        <v>3.5</v>
      </c>
      <c r="AT17" s="62"/>
      <c r="AU17" s="69"/>
      <c r="AV17" s="62" t="s">
        <v>458</v>
      </c>
      <c r="AW17" s="62"/>
      <c r="AX17" s="62">
        <f>21.5-17.5</f>
        <v>4</v>
      </c>
      <c r="AY17" s="62"/>
      <c r="AZ17" s="62" t="s">
        <v>458</v>
      </c>
      <c r="BA17" s="62"/>
      <c r="BB17" s="81">
        <v>3.5</v>
      </c>
      <c r="BC17" s="62"/>
      <c r="BD17" s="62" t="s">
        <v>458</v>
      </c>
      <c r="BE17" s="62"/>
      <c r="BF17" s="78">
        <v>1</v>
      </c>
      <c r="BG17" s="62"/>
      <c r="BH17" s="62" t="s">
        <v>458</v>
      </c>
      <c r="BI17" s="62"/>
      <c r="BJ17" s="62">
        <v>3.5</v>
      </c>
      <c r="BK17" s="62"/>
      <c r="BL17" s="62" t="s">
        <v>458</v>
      </c>
      <c r="BM17" s="62"/>
      <c r="BN17" s="78">
        <v>4</v>
      </c>
      <c r="BO17" s="62"/>
      <c r="BP17" s="62" t="s">
        <v>458</v>
      </c>
      <c r="BQ17" s="62"/>
      <c r="BR17" s="62">
        <v>4</v>
      </c>
      <c r="BS17" s="62"/>
      <c r="BT17" s="69"/>
      <c r="BU17" s="62" t="s">
        <v>458</v>
      </c>
      <c r="BV17" s="62"/>
      <c r="BW17" s="62"/>
      <c r="BX17" s="62"/>
      <c r="BY17" s="62" t="s">
        <v>458</v>
      </c>
      <c r="BZ17" s="62"/>
      <c r="CA17" s="62">
        <v>1</v>
      </c>
      <c r="CB17" s="62"/>
      <c r="CC17" s="62" t="s">
        <v>458</v>
      </c>
      <c r="CD17" s="62"/>
      <c r="CE17" s="62"/>
      <c r="CF17" s="62"/>
      <c r="CG17" s="62" t="s">
        <v>458</v>
      </c>
      <c r="CH17" s="62"/>
      <c r="CI17" s="62"/>
      <c r="CJ17" s="62"/>
      <c r="CK17" s="62" t="s">
        <v>458</v>
      </c>
      <c r="CL17" s="62"/>
      <c r="CM17" s="87"/>
      <c r="CN17" s="62"/>
      <c r="CO17" s="62" t="s">
        <v>458</v>
      </c>
      <c r="CP17" s="62"/>
      <c r="CQ17" s="62"/>
      <c r="CR17" s="62"/>
      <c r="CS17" s="69"/>
      <c r="CT17" s="62" t="s">
        <v>458</v>
      </c>
      <c r="CU17" s="62"/>
      <c r="CV17" s="62"/>
      <c r="CW17" s="62"/>
      <c r="CX17" s="62" t="s">
        <v>458</v>
      </c>
      <c r="CY17" s="62"/>
      <c r="CZ17" s="87"/>
      <c r="DA17" s="62"/>
      <c r="DB17" s="62" t="s">
        <v>458</v>
      </c>
      <c r="DC17" s="62"/>
      <c r="DD17" s="62">
        <v>2</v>
      </c>
      <c r="DE17" s="62"/>
      <c r="DF17" s="62" t="s">
        <v>458</v>
      </c>
      <c r="DG17" s="62"/>
      <c r="DH17" s="62"/>
      <c r="DI17" s="62"/>
      <c r="DJ17" s="62" t="s">
        <v>458</v>
      </c>
      <c r="DK17" s="62"/>
      <c r="DL17" s="81"/>
      <c r="DM17" s="62"/>
      <c r="DN17" s="62" t="s">
        <v>458</v>
      </c>
      <c r="DO17" s="62"/>
      <c r="DP17" s="62"/>
      <c r="DQ17" s="62"/>
      <c r="DR17" s="69"/>
    </row>
    <row r="18" spans="1:122" x14ac:dyDescent="0.25">
      <c r="A18" s="59">
        <v>10</v>
      </c>
      <c r="B18" s="72" t="s">
        <v>52</v>
      </c>
      <c r="C18" s="73" t="s">
        <v>53</v>
      </c>
      <c r="D18" s="60">
        <f t="shared" si="6"/>
        <v>26</v>
      </c>
      <c r="E18" s="60">
        <f t="shared" si="7"/>
        <v>82</v>
      </c>
      <c r="F18" s="60">
        <f t="shared" si="0"/>
        <v>1.5</v>
      </c>
      <c r="G18" s="60">
        <f t="shared" si="1"/>
        <v>1</v>
      </c>
      <c r="H18" s="60">
        <f t="shared" si="2"/>
        <v>23.5</v>
      </c>
      <c r="I18" s="60">
        <f t="shared" si="8"/>
        <v>0</v>
      </c>
      <c r="J18" s="60">
        <f t="shared" si="3"/>
        <v>0</v>
      </c>
      <c r="K18" s="60">
        <f t="shared" si="9"/>
        <v>0</v>
      </c>
      <c r="L18" s="60">
        <f t="shared" si="4"/>
        <v>0</v>
      </c>
      <c r="M18" s="60">
        <f t="shared" si="5"/>
        <v>0</v>
      </c>
      <c r="N18" s="61" t="s">
        <v>458</v>
      </c>
      <c r="O18" s="61"/>
      <c r="P18" s="61">
        <v>3.5</v>
      </c>
      <c r="Q18" s="61"/>
      <c r="R18" s="61" t="s">
        <v>458</v>
      </c>
      <c r="S18" s="61"/>
      <c r="T18" s="61">
        <v>4.5</v>
      </c>
      <c r="U18" s="61">
        <v>1.5</v>
      </c>
      <c r="V18" s="68">
        <v>5.5</v>
      </c>
      <c r="W18" s="61" t="s">
        <v>458</v>
      </c>
      <c r="X18" s="61"/>
      <c r="Y18" s="61">
        <v>3.5</v>
      </c>
      <c r="Z18" s="61"/>
      <c r="AA18" s="61" t="s">
        <v>458</v>
      </c>
      <c r="AB18" s="61"/>
      <c r="AC18" s="61">
        <v>4</v>
      </c>
      <c r="AD18" s="61"/>
      <c r="AE18" s="61" t="s">
        <v>458</v>
      </c>
      <c r="AF18" s="61"/>
      <c r="AG18" s="61">
        <v>4.5</v>
      </c>
      <c r="AH18" s="61"/>
      <c r="AI18" s="61" t="s">
        <v>458</v>
      </c>
      <c r="AJ18" s="61"/>
      <c r="AK18" s="61">
        <v>3.5</v>
      </c>
      <c r="AL18" s="61"/>
      <c r="AM18" s="61" t="s">
        <v>458</v>
      </c>
      <c r="AN18" s="61"/>
      <c r="AO18" s="61">
        <v>4.5</v>
      </c>
      <c r="AP18" s="61"/>
      <c r="AQ18" s="61" t="s">
        <v>458</v>
      </c>
      <c r="AR18" s="61"/>
      <c r="AS18" s="61">
        <v>3.5</v>
      </c>
      <c r="AT18" s="61"/>
      <c r="AU18" s="68"/>
      <c r="AV18" s="61" t="s">
        <v>458</v>
      </c>
      <c r="AW18" s="61"/>
      <c r="AX18" s="61">
        <v>4</v>
      </c>
      <c r="AY18" s="61"/>
      <c r="AZ18" s="61" t="s">
        <v>458</v>
      </c>
      <c r="BA18" s="61"/>
      <c r="BB18" s="80">
        <v>3.5</v>
      </c>
      <c r="BC18" s="61"/>
      <c r="BD18" s="61" t="s">
        <v>458</v>
      </c>
      <c r="BE18" s="61"/>
      <c r="BF18" s="77">
        <v>1</v>
      </c>
      <c r="BG18" s="61"/>
      <c r="BH18" s="61" t="s">
        <v>458</v>
      </c>
      <c r="BI18" s="61"/>
      <c r="BJ18" s="61">
        <v>3.5</v>
      </c>
      <c r="BK18" s="61"/>
      <c r="BL18" s="61" t="s">
        <v>458</v>
      </c>
      <c r="BM18" s="61"/>
      <c r="BN18" s="77">
        <v>1</v>
      </c>
      <c r="BO18" s="61"/>
      <c r="BP18" s="61" t="s">
        <v>458</v>
      </c>
      <c r="BQ18" s="61"/>
      <c r="BR18" s="61">
        <v>4</v>
      </c>
      <c r="BS18" s="61"/>
      <c r="BT18" s="68">
        <v>10</v>
      </c>
      <c r="BU18" s="61" t="s">
        <v>458</v>
      </c>
      <c r="BV18" s="61">
        <v>1</v>
      </c>
      <c r="BW18" s="61"/>
      <c r="BX18" s="61"/>
      <c r="BY18" s="61" t="s">
        <v>458</v>
      </c>
      <c r="BZ18" s="61"/>
      <c r="CA18" s="61">
        <v>1</v>
      </c>
      <c r="CB18" s="61"/>
      <c r="CC18" s="61" t="s">
        <v>458</v>
      </c>
      <c r="CD18" s="61"/>
      <c r="CE18" s="61">
        <v>4</v>
      </c>
      <c r="CF18" s="61"/>
      <c r="CG18" s="61" t="s">
        <v>458</v>
      </c>
      <c r="CH18" s="61"/>
      <c r="CI18" s="61">
        <v>3.5</v>
      </c>
      <c r="CJ18" s="61"/>
      <c r="CK18" s="61" t="s">
        <v>458</v>
      </c>
      <c r="CL18" s="61"/>
      <c r="CM18" s="86">
        <v>4</v>
      </c>
      <c r="CN18" s="61"/>
      <c r="CO18" s="61" t="s">
        <v>458</v>
      </c>
      <c r="CP18" s="61"/>
      <c r="CQ18" s="61">
        <v>1</v>
      </c>
      <c r="CR18" s="61"/>
      <c r="CS18" s="68"/>
      <c r="CT18" s="61" t="s">
        <v>458</v>
      </c>
      <c r="CU18" s="61"/>
      <c r="CV18" s="61">
        <f>21-17.5</f>
        <v>3.5</v>
      </c>
      <c r="CW18" s="61"/>
      <c r="CX18" s="61" t="s">
        <v>458</v>
      </c>
      <c r="CY18" s="61"/>
      <c r="CZ18" s="86">
        <v>3.5</v>
      </c>
      <c r="DA18" s="61"/>
      <c r="DB18" s="61" t="s">
        <v>458</v>
      </c>
      <c r="DC18" s="61"/>
      <c r="DD18" s="61">
        <v>2</v>
      </c>
      <c r="DE18" s="61"/>
      <c r="DF18" s="61" t="s">
        <v>458</v>
      </c>
      <c r="DG18" s="61"/>
      <c r="DH18" s="61">
        <v>3.5</v>
      </c>
      <c r="DI18" s="61"/>
      <c r="DJ18" s="61" t="s">
        <v>458</v>
      </c>
      <c r="DK18" s="61"/>
      <c r="DL18" s="80">
        <v>4</v>
      </c>
      <c r="DM18" s="61"/>
      <c r="DN18" s="61" t="s">
        <v>458</v>
      </c>
      <c r="DO18" s="61"/>
      <c r="DP18" s="61">
        <f>21-17.5</f>
        <v>3.5</v>
      </c>
      <c r="DQ18" s="61"/>
      <c r="DR18" s="68">
        <v>8</v>
      </c>
    </row>
    <row r="19" spans="1:122" x14ac:dyDescent="0.25">
      <c r="A19" s="59">
        <v>11</v>
      </c>
      <c r="B19" s="72" t="s">
        <v>54</v>
      </c>
      <c r="C19" s="73" t="s">
        <v>55</v>
      </c>
      <c r="D19" s="60">
        <f t="shared" si="6"/>
        <v>26</v>
      </c>
      <c r="E19" s="60">
        <f t="shared" si="7"/>
        <v>85.5</v>
      </c>
      <c r="F19" s="60">
        <f t="shared" si="0"/>
        <v>1.5</v>
      </c>
      <c r="G19" s="60">
        <f t="shared" si="1"/>
        <v>0</v>
      </c>
      <c r="H19" s="60">
        <f t="shared" si="2"/>
        <v>23.5</v>
      </c>
      <c r="I19" s="60">
        <f t="shared" si="8"/>
        <v>0</v>
      </c>
      <c r="J19" s="60">
        <f t="shared" si="3"/>
        <v>0</v>
      </c>
      <c r="K19" s="60">
        <f t="shared" si="9"/>
        <v>0</v>
      </c>
      <c r="L19" s="60">
        <f t="shared" si="4"/>
        <v>0</v>
      </c>
      <c r="M19" s="60">
        <f t="shared" si="5"/>
        <v>0</v>
      </c>
      <c r="N19" s="61" t="s">
        <v>458</v>
      </c>
      <c r="O19" s="61"/>
      <c r="P19" s="61">
        <v>3.5</v>
      </c>
      <c r="Q19" s="61"/>
      <c r="R19" s="61" t="s">
        <v>458</v>
      </c>
      <c r="S19" s="61"/>
      <c r="T19" s="61">
        <v>4.5</v>
      </c>
      <c r="U19" s="61">
        <v>1.5</v>
      </c>
      <c r="V19" s="68">
        <v>5.5</v>
      </c>
      <c r="W19" s="61" t="s">
        <v>458</v>
      </c>
      <c r="X19" s="61"/>
      <c r="Y19" s="61">
        <v>3.5</v>
      </c>
      <c r="Z19" s="61"/>
      <c r="AA19" s="61" t="s">
        <v>458</v>
      </c>
      <c r="AB19" s="61"/>
      <c r="AC19" s="61">
        <v>4</v>
      </c>
      <c r="AD19" s="61"/>
      <c r="AE19" s="61" t="s">
        <v>458</v>
      </c>
      <c r="AF19" s="61"/>
      <c r="AG19" s="61">
        <v>4.5</v>
      </c>
      <c r="AH19" s="61"/>
      <c r="AI19" s="61" t="s">
        <v>458</v>
      </c>
      <c r="AJ19" s="61"/>
      <c r="AK19" s="61">
        <v>3.5</v>
      </c>
      <c r="AL19" s="61"/>
      <c r="AM19" s="61" t="s">
        <v>458</v>
      </c>
      <c r="AN19" s="61"/>
      <c r="AO19" s="61">
        <v>4.5</v>
      </c>
      <c r="AP19" s="61"/>
      <c r="AQ19" s="61" t="s">
        <v>458</v>
      </c>
      <c r="AR19" s="61"/>
      <c r="AS19" s="61">
        <v>3.5</v>
      </c>
      <c r="AT19" s="61"/>
      <c r="AU19" s="68"/>
      <c r="AV19" s="61" t="s">
        <v>458</v>
      </c>
      <c r="AW19" s="61"/>
      <c r="AX19" s="61">
        <v>4</v>
      </c>
      <c r="AY19" s="61"/>
      <c r="AZ19" s="61" t="s">
        <v>458</v>
      </c>
      <c r="BA19" s="61"/>
      <c r="BB19" s="80">
        <v>3.5</v>
      </c>
      <c r="BC19" s="61"/>
      <c r="BD19" s="61" t="s">
        <v>458</v>
      </c>
      <c r="BE19" s="61"/>
      <c r="BF19" s="77">
        <v>1</v>
      </c>
      <c r="BG19" s="61"/>
      <c r="BH19" s="61" t="s">
        <v>458</v>
      </c>
      <c r="BI19" s="61"/>
      <c r="BJ19" s="61">
        <v>3.5</v>
      </c>
      <c r="BK19" s="61"/>
      <c r="BL19" s="61" t="s">
        <v>458</v>
      </c>
      <c r="BM19" s="61"/>
      <c r="BN19" s="77">
        <v>4</v>
      </c>
      <c r="BO19" s="61"/>
      <c r="BP19" s="61" t="s">
        <v>458</v>
      </c>
      <c r="BQ19" s="61"/>
      <c r="BR19" s="61">
        <v>4</v>
      </c>
      <c r="BS19" s="61"/>
      <c r="BT19" s="68">
        <v>10</v>
      </c>
      <c r="BU19" s="61" t="s">
        <v>458</v>
      </c>
      <c r="BV19" s="61"/>
      <c r="BW19" s="61"/>
      <c r="BX19" s="61"/>
      <c r="BY19" s="61" t="s">
        <v>458</v>
      </c>
      <c r="BZ19" s="61"/>
      <c r="CA19" s="61">
        <v>1</v>
      </c>
      <c r="CB19" s="61"/>
      <c r="CC19" s="61" t="s">
        <v>458</v>
      </c>
      <c r="CD19" s="61"/>
      <c r="CE19" s="61">
        <v>4</v>
      </c>
      <c r="CF19" s="61"/>
      <c r="CG19" s="61" t="s">
        <v>458</v>
      </c>
      <c r="CH19" s="61"/>
      <c r="CI19" s="61">
        <v>3.5</v>
      </c>
      <c r="CJ19" s="61"/>
      <c r="CK19" s="61" t="s">
        <v>458</v>
      </c>
      <c r="CL19" s="61"/>
      <c r="CM19" s="86">
        <v>4</v>
      </c>
      <c r="CN19" s="61"/>
      <c r="CO19" s="61" t="s">
        <v>458</v>
      </c>
      <c r="CP19" s="61"/>
      <c r="CQ19" s="61">
        <v>1</v>
      </c>
      <c r="CR19" s="61"/>
      <c r="CS19" s="68"/>
      <c r="CT19" s="61" t="s">
        <v>458</v>
      </c>
      <c r="CU19" s="61"/>
      <c r="CV19" s="61">
        <v>3.5</v>
      </c>
      <c r="CW19" s="61"/>
      <c r="CX19" s="61" t="s">
        <v>458</v>
      </c>
      <c r="CY19" s="61"/>
      <c r="CZ19" s="86">
        <v>3.5</v>
      </c>
      <c r="DA19" s="61"/>
      <c r="DB19" s="61" t="s">
        <v>458</v>
      </c>
      <c r="DC19" s="61"/>
      <c r="DD19" s="61">
        <v>2</v>
      </c>
      <c r="DE19" s="61"/>
      <c r="DF19" s="61" t="s">
        <v>458</v>
      </c>
      <c r="DG19" s="61"/>
      <c r="DH19" s="61">
        <v>3.5</v>
      </c>
      <c r="DI19" s="61"/>
      <c r="DJ19" s="61" t="s">
        <v>458</v>
      </c>
      <c r="DK19" s="61"/>
      <c r="DL19" s="80">
        <v>4</v>
      </c>
      <c r="DM19" s="61"/>
      <c r="DN19" s="61" t="s">
        <v>458</v>
      </c>
      <c r="DO19" s="61"/>
      <c r="DP19" s="61">
        <v>4</v>
      </c>
      <c r="DQ19" s="61"/>
      <c r="DR19" s="68">
        <v>8</v>
      </c>
    </row>
    <row r="20" spans="1:122" x14ac:dyDescent="0.25">
      <c r="A20" s="59">
        <v>12</v>
      </c>
      <c r="B20" s="72" t="s">
        <v>56</v>
      </c>
      <c r="C20" s="73" t="s">
        <v>57</v>
      </c>
      <c r="D20" s="60">
        <f t="shared" si="6"/>
        <v>24</v>
      </c>
      <c r="E20" s="60">
        <f t="shared" si="7"/>
        <v>23</v>
      </c>
      <c r="F20" s="60">
        <f t="shared" si="0"/>
        <v>0</v>
      </c>
      <c r="G20" s="60">
        <f t="shared" si="1"/>
        <v>0</v>
      </c>
      <c r="H20" s="60">
        <f t="shared" si="2"/>
        <v>8</v>
      </c>
      <c r="I20" s="60">
        <f t="shared" si="8"/>
        <v>0</v>
      </c>
      <c r="J20" s="60">
        <f t="shared" si="3"/>
        <v>2</v>
      </c>
      <c r="K20" s="60">
        <f t="shared" si="9"/>
        <v>0</v>
      </c>
      <c r="L20" s="60">
        <f t="shared" si="4"/>
        <v>0</v>
      </c>
      <c r="M20" s="60">
        <f t="shared" si="5"/>
        <v>0</v>
      </c>
      <c r="N20" s="61" t="s">
        <v>458</v>
      </c>
      <c r="O20" s="61"/>
      <c r="P20" s="61">
        <v>3.5</v>
      </c>
      <c r="Q20" s="61"/>
      <c r="R20" s="61" t="s">
        <v>458</v>
      </c>
      <c r="S20" s="61"/>
      <c r="T20" s="61">
        <v>3.5</v>
      </c>
      <c r="U20" s="61"/>
      <c r="V20" s="68"/>
      <c r="W20" s="61" t="s">
        <v>458</v>
      </c>
      <c r="X20" s="61"/>
      <c r="Y20" s="61">
        <v>3.5</v>
      </c>
      <c r="Z20" s="61"/>
      <c r="AA20" s="61" t="s">
        <v>458</v>
      </c>
      <c r="AB20" s="61"/>
      <c r="AC20" s="61">
        <v>3.5</v>
      </c>
      <c r="AD20" s="61"/>
      <c r="AE20" s="61" t="s">
        <v>458</v>
      </c>
      <c r="AF20" s="61"/>
      <c r="AG20" s="61"/>
      <c r="AH20" s="61"/>
      <c r="AI20" s="61" t="s">
        <v>458</v>
      </c>
      <c r="AJ20" s="61"/>
      <c r="AK20" s="61">
        <v>3.5</v>
      </c>
      <c r="AL20" s="61"/>
      <c r="AM20" s="61" t="s">
        <v>458</v>
      </c>
      <c r="AN20" s="61"/>
      <c r="AO20" s="61">
        <v>3.5</v>
      </c>
      <c r="AP20" s="61"/>
      <c r="AQ20" s="61" t="s">
        <v>13</v>
      </c>
      <c r="AR20" s="61"/>
      <c r="AS20" s="61"/>
      <c r="AT20" s="61"/>
      <c r="AU20" s="68"/>
      <c r="AV20" s="61" t="s">
        <v>458</v>
      </c>
      <c r="AW20" s="61"/>
      <c r="AX20" s="61"/>
      <c r="AY20" s="61"/>
      <c r="AZ20" s="61" t="s">
        <v>458</v>
      </c>
      <c r="BA20" s="61"/>
      <c r="BB20" s="80"/>
      <c r="BC20" s="61"/>
      <c r="BD20" s="61" t="s">
        <v>458</v>
      </c>
      <c r="BE20" s="61"/>
      <c r="BF20" s="77"/>
      <c r="BG20" s="61"/>
      <c r="BH20" s="61" t="s">
        <v>458</v>
      </c>
      <c r="BI20" s="61"/>
      <c r="BJ20" s="61"/>
      <c r="BK20" s="61"/>
      <c r="BL20" s="61" t="s">
        <v>458</v>
      </c>
      <c r="BM20" s="61"/>
      <c r="BN20" s="77"/>
      <c r="BO20" s="61"/>
      <c r="BP20" s="61" t="s">
        <v>458</v>
      </c>
      <c r="BQ20" s="61"/>
      <c r="BR20" s="61"/>
      <c r="BS20" s="61"/>
      <c r="BT20" s="68">
        <v>8</v>
      </c>
      <c r="BU20" s="61" t="s">
        <v>458</v>
      </c>
      <c r="BV20" s="61"/>
      <c r="BW20" s="61"/>
      <c r="BX20" s="61"/>
      <c r="BY20" s="61" t="s">
        <v>13</v>
      </c>
      <c r="BZ20" s="61"/>
      <c r="CA20" s="61"/>
      <c r="CB20" s="61"/>
      <c r="CC20" s="61" t="s">
        <v>458</v>
      </c>
      <c r="CD20" s="61"/>
      <c r="CE20" s="61"/>
      <c r="CF20" s="61"/>
      <c r="CG20" s="61" t="s">
        <v>458</v>
      </c>
      <c r="CH20" s="61"/>
      <c r="CI20" s="61"/>
      <c r="CJ20" s="61"/>
      <c r="CK20" s="61" t="s">
        <v>458</v>
      </c>
      <c r="CL20" s="61"/>
      <c r="CM20" s="86"/>
      <c r="CN20" s="61"/>
      <c r="CO20" s="61" t="s">
        <v>458</v>
      </c>
      <c r="CP20" s="61"/>
      <c r="CQ20" s="61">
        <v>1</v>
      </c>
      <c r="CR20" s="61"/>
      <c r="CS20" s="68"/>
      <c r="CT20" s="61" t="s">
        <v>458</v>
      </c>
      <c r="CU20" s="61"/>
      <c r="CV20" s="61"/>
      <c r="CW20" s="61"/>
      <c r="CX20" s="61" t="s">
        <v>458</v>
      </c>
      <c r="CY20" s="61"/>
      <c r="CZ20" s="86"/>
      <c r="DA20" s="61"/>
      <c r="DB20" s="61" t="s">
        <v>458</v>
      </c>
      <c r="DC20" s="61"/>
      <c r="DD20" s="61"/>
      <c r="DE20" s="61"/>
      <c r="DF20" s="61" t="s">
        <v>458</v>
      </c>
      <c r="DG20" s="61"/>
      <c r="DH20" s="61"/>
      <c r="DI20" s="61"/>
      <c r="DJ20" s="61" t="s">
        <v>458</v>
      </c>
      <c r="DK20" s="61"/>
      <c r="DL20" s="80">
        <v>1</v>
      </c>
      <c r="DM20" s="61"/>
      <c r="DN20" s="61" t="s">
        <v>458</v>
      </c>
      <c r="DO20" s="61"/>
      <c r="DP20" s="61"/>
      <c r="DQ20" s="61"/>
      <c r="DR20" s="68"/>
    </row>
    <row r="21" spans="1:122" x14ac:dyDescent="0.25">
      <c r="A21" s="59">
        <v>13</v>
      </c>
      <c r="B21" s="72" t="s">
        <v>58</v>
      </c>
      <c r="C21" s="73" t="s">
        <v>59</v>
      </c>
      <c r="D21" s="60">
        <f t="shared" si="6"/>
        <v>25</v>
      </c>
      <c r="E21" s="60">
        <f t="shared" si="7"/>
        <v>49.5</v>
      </c>
      <c r="F21" s="60">
        <f t="shared" si="0"/>
        <v>0</v>
      </c>
      <c r="G21" s="60">
        <f t="shared" si="1"/>
        <v>0</v>
      </c>
      <c r="H21" s="60">
        <f t="shared" si="2"/>
        <v>14</v>
      </c>
      <c r="I21" s="60">
        <f t="shared" si="8"/>
        <v>0</v>
      </c>
      <c r="J21" s="60">
        <f t="shared" si="3"/>
        <v>0</v>
      </c>
      <c r="K21" s="60">
        <f t="shared" si="9"/>
        <v>0</v>
      </c>
      <c r="L21" s="60">
        <f t="shared" si="4"/>
        <v>0</v>
      </c>
      <c r="M21" s="60">
        <f t="shared" si="5"/>
        <v>0</v>
      </c>
      <c r="N21" s="61"/>
      <c r="O21" s="61"/>
      <c r="P21" s="61"/>
      <c r="Q21" s="61"/>
      <c r="R21" s="61" t="s">
        <v>458</v>
      </c>
      <c r="S21" s="61"/>
      <c r="T21" s="61">
        <v>3.5</v>
      </c>
      <c r="U21" s="61"/>
      <c r="V21" s="68">
        <v>5.5</v>
      </c>
      <c r="W21" s="61" t="s">
        <v>458</v>
      </c>
      <c r="X21" s="61"/>
      <c r="Y21" s="61">
        <v>4</v>
      </c>
      <c r="Z21" s="61"/>
      <c r="AA21" s="61" t="s">
        <v>458</v>
      </c>
      <c r="AB21" s="61"/>
      <c r="AC21" s="61"/>
      <c r="AD21" s="61"/>
      <c r="AE21" s="61" t="s">
        <v>458</v>
      </c>
      <c r="AF21" s="61"/>
      <c r="AG21" s="61"/>
      <c r="AH21" s="61"/>
      <c r="AI21" s="61" t="s">
        <v>458</v>
      </c>
      <c r="AJ21" s="61"/>
      <c r="AK21" s="61"/>
      <c r="AL21" s="61"/>
      <c r="AM21" s="61" t="s">
        <v>458</v>
      </c>
      <c r="AN21" s="61"/>
      <c r="AO21" s="61">
        <v>4</v>
      </c>
      <c r="AP21" s="61"/>
      <c r="AQ21" s="61" t="s">
        <v>458</v>
      </c>
      <c r="AR21" s="61"/>
      <c r="AS21" s="61">
        <v>3.5</v>
      </c>
      <c r="AT21" s="61"/>
      <c r="AU21" s="68">
        <v>8.5</v>
      </c>
      <c r="AV21" s="61" t="s">
        <v>458</v>
      </c>
      <c r="AW21" s="61"/>
      <c r="AX21" s="61">
        <v>4.5</v>
      </c>
      <c r="AY21" s="61"/>
      <c r="AZ21" s="61" t="s">
        <v>458</v>
      </c>
      <c r="BA21" s="61"/>
      <c r="BB21" s="80">
        <v>1</v>
      </c>
      <c r="BC21" s="61"/>
      <c r="BD21" s="61" t="s">
        <v>458</v>
      </c>
      <c r="BE21" s="61"/>
      <c r="BF21" s="77">
        <v>4</v>
      </c>
      <c r="BG21" s="61"/>
      <c r="BH21" s="61" t="s">
        <v>458</v>
      </c>
      <c r="BI21" s="61"/>
      <c r="BJ21" s="61">
        <v>1</v>
      </c>
      <c r="BK21" s="61"/>
      <c r="BL21" s="61" t="s">
        <v>458</v>
      </c>
      <c r="BM21" s="61"/>
      <c r="BN21" s="77">
        <v>4</v>
      </c>
      <c r="BO21" s="61"/>
      <c r="BP21" s="61" t="s">
        <v>458</v>
      </c>
      <c r="BQ21" s="61"/>
      <c r="BR21" s="61">
        <v>4</v>
      </c>
      <c r="BS21" s="61"/>
      <c r="BT21" s="68"/>
      <c r="BU21" s="61" t="s">
        <v>458</v>
      </c>
      <c r="BV21" s="61"/>
      <c r="BW21" s="61">
        <f>20.5-17.5</f>
        <v>3</v>
      </c>
      <c r="BX21" s="61"/>
      <c r="BY21" s="61" t="s">
        <v>458</v>
      </c>
      <c r="BZ21" s="61"/>
      <c r="CA21" s="61"/>
      <c r="CB21" s="61"/>
      <c r="CC21" s="61" t="s">
        <v>458</v>
      </c>
      <c r="CD21" s="61"/>
      <c r="CE21" s="61">
        <v>1</v>
      </c>
      <c r="CF21" s="61"/>
      <c r="CG21" s="61" t="s">
        <v>458</v>
      </c>
      <c r="CH21" s="61"/>
      <c r="CI21" s="61">
        <f>20.5-17.5</f>
        <v>3</v>
      </c>
      <c r="CJ21" s="61"/>
      <c r="CK21" s="61" t="s">
        <v>458</v>
      </c>
      <c r="CL21" s="61"/>
      <c r="CM21" s="86"/>
      <c r="CN21" s="61"/>
      <c r="CO21" s="61" t="s">
        <v>458</v>
      </c>
      <c r="CP21" s="61"/>
      <c r="CQ21" s="61"/>
      <c r="CR21" s="61"/>
      <c r="CS21" s="68"/>
      <c r="CT21" s="61" t="s">
        <v>458</v>
      </c>
      <c r="CU21" s="61"/>
      <c r="CV21" s="61">
        <v>4</v>
      </c>
      <c r="CW21" s="61"/>
      <c r="CX21" s="61" t="s">
        <v>458</v>
      </c>
      <c r="CY21" s="61"/>
      <c r="CZ21" s="86"/>
      <c r="DA21" s="61"/>
      <c r="DB21" s="61" t="s">
        <v>458</v>
      </c>
      <c r="DC21" s="61"/>
      <c r="DD21" s="61"/>
      <c r="DE21" s="61"/>
      <c r="DF21" s="61" t="s">
        <v>458</v>
      </c>
      <c r="DG21" s="61"/>
      <c r="DH21" s="61"/>
      <c r="DI21" s="61"/>
      <c r="DJ21" s="61" t="s">
        <v>458</v>
      </c>
      <c r="DK21" s="61"/>
      <c r="DL21" s="80">
        <v>4</v>
      </c>
      <c r="DM21" s="61"/>
      <c r="DN21" s="61" t="s">
        <v>458</v>
      </c>
      <c r="DO21" s="61"/>
      <c r="DP21" s="61">
        <v>1</v>
      </c>
      <c r="DQ21" s="61"/>
      <c r="DR21" s="68"/>
    </row>
    <row r="22" spans="1:122" x14ac:dyDescent="0.25">
      <c r="A22" s="59">
        <v>14</v>
      </c>
      <c r="B22" s="72" t="s">
        <v>60</v>
      </c>
      <c r="C22" s="73" t="s">
        <v>61</v>
      </c>
      <c r="D22" s="60">
        <f t="shared" si="6"/>
        <v>20</v>
      </c>
      <c r="E22" s="60">
        <f t="shared" si="7"/>
        <v>38.5</v>
      </c>
      <c r="F22" s="60">
        <f t="shared" si="0"/>
        <v>0</v>
      </c>
      <c r="G22" s="60">
        <f t="shared" si="1"/>
        <v>2</v>
      </c>
      <c r="H22" s="60">
        <f t="shared" si="2"/>
        <v>8.5</v>
      </c>
      <c r="I22" s="60">
        <f t="shared" si="8"/>
        <v>0</v>
      </c>
      <c r="J22" s="60">
        <f t="shared" si="3"/>
        <v>3</v>
      </c>
      <c r="K22" s="60">
        <f t="shared" si="9"/>
        <v>0</v>
      </c>
      <c r="L22" s="60">
        <f t="shared" si="4"/>
        <v>1</v>
      </c>
      <c r="M22" s="60">
        <f t="shared" si="5"/>
        <v>0</v>
      </c>
      <c r="N22" s="61"/>
      <c r="O22" s="61"/>
      <c r="P22" s="61"/>
      <c r="Q22" s="61"/>
      <c r="R22" s="61"/>
      <c r="S22" s="61"/>
      <c r="T22" s="61"/>
      <c r="U22" s="61"/>
      <c r="V22" s="68"/>
      <c r="W22" s="61" t="s">
        <v>458</v>
      </c>
      <c r="X22" s="61"/>
      <c r="Y22" s="61">
        <v>1</v>
      </c>
      <c r="Z22" s="61"/>
      <c r="AA22" s="61" t="s">
        <v>458</v>
      </c>
      <c r="AB22" s="61">
        <v>2</v>
      </c>
      <c r="AC22" s="61"/>
      <c r="AD22" s="61"/>
      <c r="AE22" s="61" t="s">
        <v>458</v>
      </c>
      <c r="AF22" s="61"/>
      <c r="AG22" s="61">
        <v>3</v>
      </c>
      <c r="AH22" s="61"/>
      <c r="AI22" s="61" t="s">
        <v>458</v>
      </c>
      <c r="AJ22" s="61"/>
      <c r="AK22" s="61">
        <v>3</v>
      </c>
      <c r="AL22" s="61"/>
      <c r="AM22" s="61" t="s">
        <v>462</v>
      </c>
      <c r="AN22" s="61"/>
      <c r="AO22" s="61"/>
      <c r="AP22" s="61"/>
      <c r="AQ22" s="61" t="s">
        <v>13</v>
      </c>
      <c r="AR22" s="61"/>
      <c r="AS22" s="61"/>
      <c r="AT22" s="61"/>
      <c r="AU22" s="68"/>
      <c r="AV22" s="61" t="s">
        <v>13</v>
      </c>
      <c r="AW22" s="61"/>
      <c r="AX22" s="61"/>
      <c r="AY22" s="61"/>
      <c r="AZ22" s="61" t="s">
        <v>458</v>
      </c>
      <c r="BA22" s="61"/>
      <c r="BB22" s="80"/>
      <c r="BC22" s="61"/>
      <c r="BD22" s="61" t="s">
        <v>458</v>
      </c>
      <c r="BE22" s="61"/>
      <c r="BF22" s="77"/>
      <c r="BG22" s="61"/>
      <c r="BH22" s="61" t="s">
        <v>458</v>
      </c>
      <c r="BI22" s="61"/>
      <c r="BJ22" s="61">
        <v>3</v>
      </c>
      <c r="BK22" s="61"/>
      <c r="BL22" s="61" t="s">
        <v>458</v>
      </c>
      <c r="BM22" s="61"/>
      <c r="BN22" s="77">
        <v>4</v>
      </c>
      <c r="BO22" s="61"/>
      <c r="BP22" s="61" t="s">
        <v>458</v>
      </c>
      <c r="BQ22" s="61"/>
      <c r="BR22" s="61">
        <v>4</v>
      </c>
      <c r="BS22" s="61"/>
      <c r="BT22" s="68"/>
      <c r="BU22" s="61" t="s">
        <v>458</v>
      </c>
      <c r="BV22" s="61"/>
      <c r="BW22" s="61">
        <v>2.5</v>
      </c>
      <c r="BX22" s="61"/>
      <c r="BY22" s="61" t="s">
        <v>13</v>
      </c>
      <c r="BZ22" s="61"/>
      <c r="CA22" s="61"/>
      <c r="CB22" s="61"/>
      <c r="CC22" s="61" t="s">
        <v>458</v>
      </c>
      <c r="CD22" s="61"/>
      <c r="CE22" s="61">
        <v>3.5</v>
      </c>
      <c r="CF22" s="61"/>
      <c r="CG22" s="61" t="s">
        <v>458</v>
      </c>
      <c r="CH22" s="61"/>
      <c r="CI22" s="61">
        <v>3.5</v>
      </c>
      <c r="CJ22" s="61"/>
      <c r="CK22" s="61" t="s">
        <v>458</v>
      </c>
      <c r="CL22" s="61"/>
      <c r="CM22" s="86">
        <v>4.5</v>
      </c>
      <c r="CN22" s="61"/>
      <c r="CO22" s="61" t="s">
        <v>458</v>
      </c>
      <c r="CP22" s="61"/>
      <c r="CQ22" s="61">
        <v>1</v>
      </c>
      <c r="CR22" s="61"/>
      <c r="CS22" s="68">
        <v>8.5</v>
      </c>
      <c r="CT22" s="61" t="s">
        <v>458</v>
      </c>
      <c r="CU22" s="61"/>
      <c r="CV22" s="61">
        <v>3.5</v>
      </c>
      <c r="CW22" s="61"/>
      <c r="CX22" s="61" t="s">
        <v>458</v>
      </c>
      <c r="CY22" s="61"/>
      <c r="CZ22" s="86"/>
      <c r="DA22" s="61"/>
      <c r="DB22" s="61" t="s">
        <v>458</v>
      </c>
      <c r="DC22" s="61"/>
      <c r="DD22" s="61">
        <v>2</v>
      </c>
      <c r="DE22" s="61"/>
      <c r="DF22" s="61" t="s">
        <v>458</v>
      </c>
      <c r="DG22" s="61"/>
      <c r="DH22" s="61"/>
      <c r="DI22" s="61"/>
      <c r="DJ22" s="61" t="s">
        <v>458</v>
      </c>
      <c r="DK22" s="61"/>
      <c r="DL22" s="80"/>
      <c r="DM22" s="61"/>
      <c r="DN22" s="61" t="s">
        <v>458</v>
      </c>
      <c r="DO22" s="61"/>
      <c r="DP22" s="61"/>
      <c r="DQ22" s="61"/>
      <c r="DR22" s="68"/>
    </row>
    <row r="23" spans="1:122" x14ac:dyDescent="0.25">
      <c r="A23" s="59">
        <v>15</v>
      </c>
      <c r="B23" s="72" t="s">
        <v>62</v>
      </c>
      <c r="C23" s="73" t="s">
        <v>63</v>
      </c>
      <c r="D23" s="60">
        <f t="shared" si="6"/>
        <v>26</v>
      </c>
      <c r="E23" s="60">
        <f t="shared" si="7"/>
        <v>85.5</v>
      </c>
      <c r="F23" s="60">
        <f t="shared" si="0"/>
        <v>2</v>
      </c>
      <c r="G23" s="60">
        <f t="shared" si="1"/>
        <v>0</v>
      </c>
      <c r="H23" s="60">
        <f t="shared" si="2"/>
        <v>8.5</v>
      </c>
      <c r="I23" s="60">
        <f t="shared" si="8"/>
        <v>0</v>
      </c>
      <c r="J23" s="60">
        <f t="shared" si="3"/>
        <v>0</v>
      </c>
      <c r="K23" s="60">
        <f t="shared" si="9"/>
        <v>0</v>
      </c>
      <c r="L23" s="60">
        <f t="shared" si="4"/>
        <v>0</v>
      </c>
      <c r="M23" s="60">
        <f t="shared" si="5"/>
        <v>0</v>
      </c>
      <c r="N23" s="61" t="s">
        <v>458</v>
      </c>
      <c r="O23" s="61"/>
      <c r="P23" s="61">
        <v>2</v>
      </c>
      <c r="Q23" s="61"/>
      <c r="R23" s="61" t="s">
        <v>458</v>
      </c>
      <c r="S23" s="61"/>
      <c r="T23" s="61">
        <v>4.5</v>
      </c>
      <c r="U23" s="61">
        <v>1.5</v>
      </c>
      <c r="V23" s="68"/>
      <c r="W23" s="61" t="s">
        <v>458</v>
      </c>
      <c r="X23" s="61"/>
      <c r="Y23" s="61">
        <v>3.5</v>
      </c>
      <c r="Z23" s="61"/>
      <c r="AA23" s="61" t="s">
        <v>458</v>
      </c>
      <c r="AB23" s="61"/>
      <c r="AC23" s="61">
        <v>1</v>
      </c>
      <c r="AD23" s="61"/>
      <c r="AE23" s="61" t="s">
        <v>458</v>
      </c>
      <c r="AF23" s="61"/>
      <c r="AG23" s="61">
        <v>4.5</v>
      </c>
      <c r="AH23" s="61"/>
      <c r="AI23" s="61" t="s">
        <v>458</v>
      </c>
      <c r="AJ23" s="61"/>
      <c r="AK23" s="61"/>
      <c r="AL23" s="61"/>
      <c r="AM23" s="61" t="s">
        <v>458</v>
      </c>
      <c r="AN23" s="61"/>
      <c r="AO23" s="61">
        <v>4.5</v>
      </c>
      <c r="AP23" s="61"/>
      <c r="AQ23" s="61" t="s">
        <v>458</v>
      </c>
      <c r="AR23" s="61"/>
      <c r="AS23" s="61">
        <v>3.5</v>
      </c>
      <c r="AT23" s="61"/>
      <c r="AU23" s="68"/>
      <c r="AV23" s="61" t="s">
        <v>458</v>
      </c>
      <c r="AW23" s="61"/>
      <c r="AX23" s="61">
        <v>4.5</v>
      </c>
      <c r="AY23" s="61">
        <v>0.5</v>
      </c>
      <c r="AZ23" s="61" t="s">
        <v>458</v>
      </c>
      <c r="BA23" s="61"/>
      <c r="BB23" s="80">
        <f>21.5-17.5</f>
        <v>4</v>
      </c>
      <c r="BC23" s="61"/>
      <c r="BD23" s="61" t="s">
        <v>458</v>
      </c>
      <c r="BE23" s="61"/>
      <c r="BF23" s="77">
        <v>4</v>
      </c>
      <c r="BG23" s="61"/>
      <c r="BH23" s="61" t="s">
        <v>458</v>
      </c>
      <c r="BI23" s="61"/>
      <c r="BJ23" s="61"/>
      <c r="BK23" s="61"/>
      <c r="BL23" s="61" t="s">
        <v>458</v>
      </c>
      <c r="BM23" s="61"/>
      <c r="BN23" s="77">
        <v>4</v>
      </c>
      <c r="BO23" s="61"/>
      <c r="BP23" s="61" t="s">
        <v>458</v>
      </c>
      <c r="BQ23" s="61"/>
      <c r="BR23" s="61">
        <v>4</v>
      </c>
      <c r="BS23" s="61"/>
      <c r="BT23" s="68"/>
      <c r="BU23" s="61" t="s">
        <v>458</v>
      </c>
      <c r="BV23" s="61"/>
      <c r="BW23" s="61">
        <v>4</v>
      </c>
      <c r="BX23" s="61"/>
      <c r="BY23" s="61" t="s">
        <v>458</v>
      </c>
      <c r="BZ23" s="61"/>
      <c r="CA23" s="61">
        <v>3.5</v>
      </c>
      <c r="CB23" s="61"/>
      <c r="CC23" s="61" t="s">
        <v>458</v>
      </c>
      <c r="CD23" s="61"/>
      <c r="CE23" s="61">
        <v>4</v>
      </c>
      <c r="CF23" s="61"/>
      <c r="CG23" s="61" t="s">
        <v>458</v>
      </c>
      <c r="CH23" s="61"/>
      <c r="CI23" s="61">
        <v>4</v>
      </c>
      <c r="CJ23" s="61"/>
      <c r="CK23" s="61" t="s">
        <v>458</v>
      </c>
      <c r="CL23" s="61"/>
      <c r="CM23" s="86">
        <v>4.5</v>
      </c>
      <c r="CN23" s="61"/>
      <c r="CO23" s="61" t="s">
        <v>458</v>
      </c>
      <c r="CP23" s="61"/>
      <c r="CQ23" s="61">
        <v>1</v>
      </c>
      <c r="CR23" s="61"/>
      <c r="CS23" s="68">
        <v>8.5</v>
      </c>
      <c r="CT23" s="61" t="s">
        <v>458</v>
      </c>
      <c r="CU23" s="61"/>
      <c r="CV23" s="61">
        <v>4</v>
      </c>
      <c r="CW23" s="61"/>
      <c r="CX23" s="61" t="s">
        <v>458</v>
      </c>
      <c r="CY23" s="61"/>
      <c r="CZ23" s="86">
        <v>4</v>
      </c>
      <c r="DA23" s="61"/>
      <c r="DB23" s="61" t="s">
        <v>458</v>
      </c>
      <c r="DC23" s="61"/>
      <c r="DD23" s="61">
        <v>4</v>
      </c>
      <c r="DE23" s="61"/>
      <c r="DF23" s="61" t="s">
        <v>458</v>
      </c>
      <c r="DG23" s="61"/>
      <c r="DH23" s="61">
        <v>1</v>
      </c>
      <c r="DI23" s="61"/>
      <c r="DJ23" s="61" t="s">
        <v>458</v>
      </c>
      <c r="DK23" s="61"/>
      <c r="DL23" s="80">
        <v>4</v>
      </c>
      <c r="DM23" s="61"/>
      <c r="DN23" s="61" t="s">
        <v>458</v>
      </c>
      <c r="DO23" s="61"/>
      <c r="DP23" s="61">
        <v>3.5</v>
      </c>
      <c r="DQ23" s="61"/>
      <c r="DR23" s="68"/>
    </row>
    <row r="24" spans="1:122" x14ac:dyDescent="0.25">
      <c r="A24" s="59">
        <v>16</v>
      </c>
      <c r="B24" s="72" t="s">
        <v>64</v>
      </c>
      <c r="C24" s="73" t="s">
        <v>506</v>
      </c>
      <c r="D24" s="60">
        <f t="shared" si="6"/>
        <v>21.5</v>
      </c>
      <c r="E24" s="60">
        <f t="shared" si="7"/>
        <v>62.5</v>
      </c>
      <c r="F24" s="60">
        <f t="shared" si="0"/>
        <v>2</v>
      </c>
      <c r="G24" s="60">
        <f>IF(C24="",0,SUMIFS(N24:DR24,$N$7:$DR$7,"ĐT/VS"))</f>
        <v>0.36666666666666664</v>
      </c>
      <c r="H24" s="60">
        <f t="shared" si="2"/>
        <v>8.5</v>
      </c>
      <c r="I24" s="60">
        <f t="shared" si="8"/>
        <v>0</v>
      </c>
      <c r="J24" s="60">
        <f>COUNTIF($N24:$DR24,$O$3)</f>
        <v>3</v>
      </c>
      <c r="K24" s="60">
        <f t="shared" si="9"/>
        <v>0</v>
      </c>
      <c r="L24" s="60">
        <f t="shared" si="4"/>
        <v>0</v>
      </c>
      <c r="M24" s="60">
        <f t="shared" si="5"/>
        <v>0</v>
      </c>
      <c r="N24" s="61" t="s">
        <v>458</v>
      </c>
      <c r="O24" s="61">
        <f>22/60</f>
        <v>0.36666666666666664</v>
      </c>
      <c r="P24" s="61">
        <v>2</v>
      </c>
      <c r="Q24" s="61"/>
      <c r="R24" s="61" t="s">
        <v>458</v>
      </c>
      <c r="S24" s="61"/>
      <c r="T24" s="61">
        <v>4.5</v>
      </c>
      <c r="U24" s="61">
        <v>1.5</v>
      </c>
      <c r="V24" s="68"/>
      <c r="W24" s="61" t="s">
        <v>458</v>
      </c>
      <c r="X24" s="61"/>
      <c r="Y24" s="61">
        <v>3.5</v>
      </c>
      <c r="Z24" s="61"/>
      <c r="AA24" s="61" t="s">
        <v>458</v>
      </c>
      <c r="AB24" s="61"/>
      <c r="AC24" s="61">
        <v>1</v>
      </c>
      <c r="AD24" s="61"/>
      <c r="AE24" s="61" t="s">
        <v>458</v>
      </c>
      <c r="AF24" s="61"/>
      <c r="AG24" s="61">
        <v>4.5</v>
      </c>
      <c r="AH24" s="61"/>
      <c r="AI24" s="61" t="s">
        <v>458</v>
      </c>
      <c r="AJ24" s="61"/>
      <c r="AK24" s="61"/>
      <c r="AL24" s="61"/>
      <c r="AM24" s="61" t="s">
        <v>13</v>
      </c>
      <c r="AN24" s="61"/>
      <c r="AO24" s="61"/>
      <c r="AP24" s="61"/>
      <c r="AQ24" s="61" t="s">
        <v>458</v>
      </c>
      <c r="AR24" s="61"/>
      <c r="AS24" s="61">
        <v>3.5</v>
      </c>
      <c r="AT24" s="61"/>
      <c r="AU24" s="68"/>
      <c r="AV24" s="61" t="s">
        <v>478</v>
      </c>
      <c r="AW24" s="61"/>
      <c r="AX24" s="61">
        <v>4.5</v>
      </c>
      <c r="AY24" s="61">
        <v>0.5</v>
      </c>
      <c r="AZ24" s="61" t="s">
        <v>458</v>
      </c>
      <c r="BA24" s="61"/>
      <c r="BB24" s="80">
        <v>1</v>
      </c>
      <c r="BC24" s="61"/>
      <c r="BD24" s="61" t="s">
        <v>458</v>
      </c>
      <c r="BE24" s="61"/>
      <c r="BF24" s="77">
        <v>4</v>
      </c>
      <c r="BG24" s="61"/>
      <c r="BH24" s="61" t="s">
        <v>458</v>
      </c>
      <c r="BI24" s="61"/>
      <c r="BJ24" s="61"/>
      <c r="BK24" s="61"/>
      <c r="BL24" s="61" t="s">
        <v>458</v>
      </c>
      <c r="BM24" s="61"/>
      <c r="BN24" s="77">
        <v>4</v>
      </c>
      <c r="BO24" s="61"/>
      <c r="BP24" s="61" t="s">
        <v>458</v>
      </c>
      <c r="BQ24" s="61"/>
      <c r="BR24" s="61">
        <v>4</v>
      </c>
      <c r="BS24" s="61"/>
      <c r="BT24" s="68"/>
      <c r="BU24" s="61" t="s">
        <v>478</v>
      </c>
      <c r="BV24" s="61"/>
      <c r="BW24" s="61"/>
      <c r="BX24" s="61"/>
      <c r="BY24" s="61" t="s">
        <v>458</v>
      </c>
      <c r="BZ24" s="61"/>
      <c r="CA24" s="61">
        <v>3.5</v>
      </c>
      <c r="CB24" s="61"/>
      <c r="CC24" s="61" t="s">
        <v>458</v>
      </c>
      <c r="CD24" s="61"/>
      <c r="CE24" s="61">
        <v>4</v>
      </c>
      <c r="CF24" s="61"/>
      <c r="CG24" s="61" t="s">
        <v>458</v>
      </c>
      <c r="CH24" s="61"/>
      <c r="CI24" s="61"/>
      <c r="CJ24" s="61"/>
      <c r="CK24" s="61" t="s">
        <v>458</v>
      </c>
      <c r="CL24" s="61"/>
      <c r="CM24" s="86">
        <v>4.5</v>
      </c>
      <c r="CN24" s="61"/>
      <c r="CO24" s="61" t="s">
        <v>458</v>
      </c>
      <c r="CP24" s="61"/>
      <c r="CQ24" s="61">
        <v>1.5</v>
      </c>
      <c r="CR24" s="61"/>
      <c r="CS24" s="68">
        <v>8.5</v>
      </c>
      <c r="CT24" s="61" t="s">
        <v>458</v>
      </c>
      <c r="CU24" s="61"/>
      <c r="CV24" s="61">
        <v>4</v>
      </c>
      <c r="CW24" s="61"/>
      <c r="CX24" s="61" t="s">
        <v>458</v>
      </c>
      <c r="CY24" s="61"/>
      <c r="CZ24" s="86">
        <v>4</v>
      </c>
      <c r="DA24" s="61"/>
      <c r="DB24" s="61" t="s">
        <v>458</v>
      </c>
      <c r="DC24" s="61"/>
      <c r="DD24" s="61">
        <v>4.5</v>
      </c>
      <c r="DE24" s="61"/>
      <c r="DF24" s="61" t="s">
        <v>478</v>
      </c>
      <c r="DG24" s="61"/>
      <c r="DH24" s="61"/>
      <c r="DI24" s="61"/>
      <c r="DJ24" s="61" t="s">
        <v>13</v>
      </c>
      <c r="DK24" s="61"/>
      <c r="DL24" s="80"/>
      <c r="DM24" s="61"/>
      <c r="DN24" s="61" t="s">
        <v>13</v>
      </c>
      <c r="DO24" s="61"/>
      <c r="DP24" s="61"/>
      <c r="DQ24" s="61"/>
      <c r="DR24" s="68"/>
    </row>
    <row r="25" spans="1:122" x14ac:dyDescent="0.25">
      <c r="A25" s="59">
        <v>17</v>
      </c>
      <c r="B25" s="72" t="s">
        <v>66</v>
      </c>
      <c r="C25" s="73" t="s">
        <v>464</v>
      </c>
      <c r="D25" s="60">
        <f t="shared" si="6"/>
        <v>23.5</v>
      </c>
      <c r="E25" s="60">
        <f t="shared" si="7"/>
        <v>65</v>
      </c>
      <c r="F25" s="60">
        <f t="shared" si="0"/>
        <v>2</v>
      </c>
      <c r="G25" s="60">
        <f t="shared" si="1"/>
        <v>0.36666666666666664</v>
      </c>
      <c r="H25" s="60">
        <f t="shared" si="2"/>
        <v>0</v>
      </c>
      <c r="I25" s="60">
        <f t="shared" si="8"/>
        <v>0</v>
      </c>
      <c r="J25" s="60">
        <f>COUNTIF($N25:$DR25,$O$3)</f>
        <v>1</v>
      </c>
      <c r="K25" s="60">
        <f t="shared" si="9"/>
        <v>0</v>
      </c>
      <c r="L25" s="60">
        <f t="shared" si="4"/>
        <v>0</v>
      </c>
      <c r="M25" s="60">
        <f t="shared" si="5"/>
        <v>0</v>
      </c>
      <c r="N25" s="61" t="s">
        <v>458</v>
      </c>
      <c r="O25" s="61">
        <f>22/60</f>
        <v>0.36666666666666664</v>
      </c>
      <c r="P25" s="61"/>
      <c r="Q25" s="61"/>
      <c r="R25" s="61" t="s">
        <v>458</v>
      </c>
      <c r="S25" s="61"/>
      <c r="T25" s="61">
        <v>4.5</v>
      </c>
      <c r="U25" s="61">
        <v>1.5</v>
      </c>
      <c r="V25" s="68"/>
      <c r="W25" s="61" t="s">
        <v>458</v>
      </c>
      <c r="X25" s="61"/>
      <c r="Y25" s="61">
        <v>3.5</v>
      </c>
      <c r="Z25" s="61"/>
      <c r="AA25" s="61" t="s">
        <v>458</v>
      </c>
      <c r="AB25" s="61"/>
      <c r="AC25" s="61">
        <v>1</v>
      </c>
      <c r="AD25" s="61"/>
      <c r="AE25" s="61" t="s">
        <v>458</v>
      </c>
      <c r="AF25" s="61"/>
      <c r="AG25" s="61"/>
      <c r="AH25" s="61"/>
      <c r="AI25" s="61" t="s">
        <v>458</v>
      </c>
      <c r="AJ25" s="61"/>
      <c r="AK25" s="61"/>
      <c r="AL25" s="61"/>
      <c r="AM25" s="61" t="s">
        <v>458</v>
      </c>
      <c r="AN25" s="61"/>
      <c r="AO25" s="61">
        <v>4.5</v>
      </c>
      <c r="AP25" s="61"/>
      <c r="AQ25" s="61" t="s">
        <v>458</v>
      </c>
      <c r="AR25" s="61"/>
      <c r="AS25" s="61"/>
      <c r="AT25" s="61"/>
      <c r="AU25" s="68"/>
      <c r="AV25" s="61" t="s">
        <v>458</v>
      </c>
      <c r="AW25" s="61"/>
      <c r="AX25" s="61">
        <v>4.5</v>
      </c>
      <c r="AY25" s="61">
        <v>0.5</v>
      </c>
      <c r="AZ25" s="61" t="s">
        <v>458</v>
      </c>
      <c r="BA25" s="61"/>
      <c r="BB25" s="80">
        <v>4</v>
      </c>
      <c r="BC25" s="61"/>
      <c r="BD25" s="61" t="s">
        <v>458</v>
      </c>
      <c r="BE25" s="61"/>
      <c r="BF25" s="77">
        <v>4</v>
      </c>
      <c r="BG25" s="61"/>
      <c r="BH25" s="61" t="s">
        <v>458</v>
      </c>
      <c r="BI25" s="61"/>
      <c r="BJ25" s="61"/>
      <c r="BK25" s="61"/>
      <c r="BL25" s="61" t="s">
        <v>13</v>
      </c>
      <c r="BM25" s="61"/>
      <c r="BN25" s="77"/>
      <c r="BO25" s="61"/>
      <c r="BP25" s="61" t="s">
        <v>458</v>
      </c>
      <c r="BQ25" s="61"/>
      <c r="BR25" s="61">
        <v>4</v>
      </c>
      <c r="BS25" s="61"/>
      <c r="BT25" s="68"/>
      <c r="BU25" s="61" t="s">
        <v>458</v>
      </c>
      <c r="BV25" s="61"/>
      <c r="BW25" s="61">
        <v>4</v>
      </c>
      <c r="BX25" s="61"/>
      <c r="BY25" s="61" t="s">
        <v>458</v>
      </c>
      <c r="BZ25" s="61"/>
      <c r="CA25" s="61">
        <v>3.5</v>
      </c>
      <c r="CB25" s="61"/>
      <c r="CC25" s="61" t="s">
        <v>458</v>
      </c>
      <c r="CD25" s="61"/>
      <c r="CE25" s="61">
        <v>4</v>
      </c>
      <c r="CF25" s="61"/>
      <c r="CG25" s="61" t="s">
        <v>458</v>
      </c>
      <c r="CH25" s="61"/>
      <c r="CI25" s="61">
        <v>3.5</v>
      </c>
      <c r="CJ25" s="61"/>
      <c r="CK25" s="61" t="s">
        <v>458</v>
      </c>
      <c r="CL25" s="61"/>
      <c r="CM25" s="86"/>
      <c r="CN25" s="61"/>
      <c r="CO25" s="61"/>
      <c r="CP25" s="61"/>
      <c r="CQ25" s="61"/>
      <c r="CR25" s="61"/>
      <c r="CS25" s="68"/>
      <c r="CT25" s="61" t="s">
        <v>458</v>
      </c>
      <c r="CU25" s="61"/>
      <c r="CV25" s="61">
        <v>4</v>
      </c>
      <c r="CW25" s="61"/>
      <c r="CX25" s="61" t="s">
        <v>458</v>
      </c>
      <c r="CY25" s="61"/>
      <c r="CZ25" s="86">
        <v>4</v>
      </c>
      <c r="DA25" s="61"/>
      <c r="DB25" s="61" t="s">
        <v>458</v>
      </c>
      <c r="DC25" s="61"/>
      <c r="DD25" s="61">
        <v>4</v>
      </c>
      <c r="DE25" s="61"/>
      <c r="DF25" s="61" t="s">
        <v>478</v>
      </c>
      <c r="DG25" s="61"/>
      <c r="DH25" s="61">
        <v>4</v>
      </c>
      <c r="DI25" s="61"/>
      <c r="DJ25" s="61" t="s">
        <v>458</v>
      </c>
      <c r="DK25" s="61"/>
      <c r="DL25" s="80">
        <v>4</v>
      </c>
      <c r="DM25" s="61"/>
      <c r="DN25" s="61" t="s">
        <v>458</v>
      </c>
      <c r="DO25" s="61"/>
      <c r="DP25" s="61"/>
      <c r="DQ25" s="61"/>
      <c r="DR25" s="68"/>
    </row>
    <row r="26" spans="1:122" x14ac:dyDescent="0.25">
      <c r="A26" s="59">
        <v>18</v>
      </c>
      <c r="B26" s="72" t="s">
        <v>68</v>
      </c>
      <c r="C26" s="73" t="s">
        <v>69</v>
      </c>
      <c r="D26" s="60">
        <f t="shared" si="6"/>
        <v>24</v>
      </c>
      <c r="E26" s="60">
        <f t="shared" si="7"/>
        <v>67.5</v>
      </c>
      <c r="F26" s="60">
        <f t="shared" si="0"/>
        <v>1.5</v>
      </c>
      <c r="G26" s="60">
        <f t="shared" si="1"/>
        <v>0</v>
      </c>
      <c r="H26" s="60">
        <f t="shared" si="2"/>
        <v>0</v>
      </c>
      <c r="I26" s="60">
        <f t="shared" si="8"/>
        <v>0</v>
      </c>
      <c r="J26" s="60">
        <f>COUNTIF($N26:$DR26,$O$3)</f>
        <v>1</v>
      </c>
      <c r="K26" s="60">
        <f t="shared" si="9"/>
        <v>0</v>
      </c>
      <c r="L26" s="60">
        <f t="shared" si="4"/>
        <v>0</v>
      </c>
      <c r="M26" s="60">
        <f t="shared" si="5"/>
        <v>0</v>
      </c>
      <c r="N26" s="61" t="s">
        <v>458</v>
      </c>
      <c r="O26" s="61"/>
      <c r="P26" s="61"/>
      <c r="Q26" s="61"/>
      <c r="R26" s="61" t="s">
        <v>478</v>
      </c>
      <c r="S26" s="61"/>
      <c r="T26" s="61">
        <v>4.5</v>
      </c>
      <c r="U26" s="61">
        <v>1.5</v>
      </c>
      <c r="V26" s="68"/>
      <c r="W26" s="61" t="s">
        <v>458</v>
      </c>
      <c r="X26" s="61"/>
      <c r="Y26" s="61">
        <v>3.5</v>
      </c>
      <c r="Z26" s="61"/>
      <c r="AA26" s="61" t="s">
        <v>458</v>
      </c>
      <c r="AB26" s="61"/>
      <c r="AC26" s="61">
        <v>4</v>
      </c>
      <c r="AD26" s="61"/>
      <c r="AE26" s="61" t="s">
        <v>458</v>
      </c>
      <c r="AF26" s="61"/>
      <c r="AG26" s="61"/>
      <c r="AH26" s="61"/>
      <c r="AI26" s="61" t="s">
        <v>478</v>
      </c>
      <c r="AJ26" s="61"/>
      <c r="AK26" s="61">
        <v>3.5</v>
      </c>
      <c r="AL26" s="61"/>
      <c r="AM26" s="61" t="s">
        <v>458</v>
      </c>
      <c r="AN26" s="61"/>
      <c r="AO26" s="61">
        <v>4.5</v>
      </c>
      <c r="AP26" s="61"/>
      <c r="AQ26" s="61" t="s">
        <v>458</v>
      </c>
      <c r="AR26" s="61"/>
      <c r="AS26" s="61"/>
      <c r="AT26" s="61"/>
      <c r="AU26" s="68"/>
      <c r="AV26" s="61" t="s">
        <v>458</v>
      </c>
      <c r="AW26" s="61"/>
      <c r="AX26" s="61">
        <v>4.5</v>
      </c>
      <c r="AY26" s="61"/>
      <c r="AZ26" s="61" t="s">
        <v>458</v>
      </c>
      <c r="BA26" s="61"/>
      <c r="BB26" s="80"/>
      <c r="BC26" s="61"/>
      <c r="BD26" s="61" t="s">
        <v>458</v>
      </c>
      <c r="BE26" s="61"/>
      <c r="BF26" s="77">
        <v>4</v>
      </c>
      <c r="BG26" s="61"/>
      <c r="BH26" s="61" t="s">
        <v>458</v>
      </c>
      <c r="BI26" s="61"/>
      <c r="BJ26" s="61"/>
      <c r="BK26" s="61"/>
      <c r="BL26" s="61" t="s">
        <v>458</v>
      </c>
      <c r="BM26" s="61"/>
      <c r="BN26" s="77">
        <v>4</v>
      </c>
      <c r="BO26" s="61"/>
      <c r="BP26" s="61" t="s">
        <v>458</v>
      </c>
      <c r="BQ26" s="61"/>
      <c r="BR26" s="61">
        <v>4</v>
      </c>
      <c r="BS26" s="61"/>
      <c r="BT26" s="68"/>
      <c r="BU26" s="61" t="s">
        <v>458</v>
      </c>
      <c r="BV26" s="61"/>
      <c r="BW26" s="61">
        <v>3</v>
      </c>
      <c r="BX26" s="61"/>
      <c r="BY26" s="61" t="s">
        <v>458</v>
      </c>
      <c r="BZ26" s="61"/>
      <c r="CA26" s="61">
        <v>3.5</v>
      </c>
      <c r="CB26" s="61"/>
      <c r="CC26" s="61" t="s">
        <v>458</v>
      </c>
      <c r="CD26" s="61"/>
      <c r="CE26" s="61"/>
      <c r="CF26" s="61"/>
      <c r="CG26" s="61" t="s">
        <v>458</v>
      </c>
      <c r="CH26" s="61"/>
      <c r="CI26" s="61">
        <v>3.5</v>
      </c>
      <c r="CJ26" s="61"/>
      <c r="CK26" s="61" t="s">
        <v>458</v>
      </c>
      <c r="CL26" s="61"/>
      <c r="CM26" s="86">
        <v>4.5</v>
      </c>
      <c r="CN26" s="61"/>
      <c r="CO26" s="61" t="s">
        <v>458</v>
      </c>
      <c r="CP26" s="61"/>
      <c r="CQ26" s="61"/>
      <c r="CR26" s="61"/>
      <c r="CS26" s="68"/>
      <c r="CT26" s="61" t="s">
        <v>458</v>
      </c>
      <c r="CU26" s="61"/>
      <c r="CV26" s="61">
        <v>4</v>
      </c>
      <c r="CW26" s="61"/>
      <c r="CX26" s="61" t="s">
        <v>458</v>
      </c>
      <c r="CY26" s="61"/>
      <c r="CZ26" s="86">
        <v>3.5</v>
      </c>
      <c r="DA26" s="61"/>
      <c r="DB26" s="61" t="s">
        <v>458</v>
      </c>
      <c r="DC26" s="61"/>
      <c r="DD26" s="61">
        <v>1</v>
      </c>
      <c r="DE26" s="61"/>
      <c r="DF26" s="61" t="s">
        <v>458</v>
      </c>
      <c r="DG26" s="61"/>
      <c r="DH26" s="61">
        <v>4</v>
      </c>
      <c r="DI26" s="61"/>
      <c r="DJ26" s="61" t="s">
        <v>458</v>
      </c>
      <c r="DK26" s="61"/>
      <c r="DL26" s="80">
        <v>4</v>
      </c>
      <c r="DM26" s="61"/>
      <c r="DN26" s="61" t="s">
        <v>13</v>
      </c>
      <c r="DO26" s="61"/>
      <c r="DP26" s="61"/>
      <c r="DQ26" s="61"/>
      <c r="DR26" s="68"/>
    </row>
    <row r="27" spans="1:122" x14ac:dyDescent="0.25">
      <c r="A27" s="59">
        <v>19</v>
      </c>
      <c r="B27" s="72" t="s">
        <v>70</v>
      </c>
      <c r="C27" s="73" t="s">
        <v>71</v>
      </c>
      <c r="D27" s="60">
        <f t="shared" si="6"/>
        <v>23</v>
      </c>
      <c r="E27" s="60">
        <f t="shared" si="7"/>
        <v>79</v>
      </c>
      <c r="F27" s="60">
        <f t="shared" si="0"/>
        <v>0</v>
      </c>
      <c r="G27" s="60">
        <f t="shared" si="1"/>
        <v>0</v>
      </c>
      <c r="H27" s="60">
        <f t="shared" si="2"/>
        <v>32.5</v>
      </c>
      <c r="I27" s="60">
        <f t="shared" si="8"/>
        <v>0</v>
      </c>
      <c r="J27" s="60">
        <f t="shared" si="3"/>
        <v>1</v>
      </c>
      <c r="K27" s="60">
        <f t="shared" si="9"/>
        <v>0</v>
      </c>
      <c r="L27" s="60">
        <f t="shared" si="4"/>
        <v>0</v>
      </c>
      <c r="M27" s="60">
        <f t="shared" si="5"/>
        <v>0</v>
      </c>
      <c r="N27" s="61"/>
      <c r="O27" s="61"/>
      <c r="P27" s="61"/>
      <c r="Q27" s="61"/>
      <c r="R27" s="61"/>
      <c r="S27" s="61"/>
      <c r="T27" s="61"/>
      <c r="U27" s="61"/>
      <c r="V27" s="68"/>
      <c r="W27" s="61" t="s">
        <v>458</v>
      </c>
      <c r="X27" s="61"/>
      <c r="Y27" s="61">
        <v>4</v>
      </c>
      <c r="Z27" s="61"/>
      <c r="AA27" s="61" t="s">
        <v>458</v>
      </c>
      <c r="AB27" s="61"/>
      <c r="AC27" s="61">
        <v>4</v>
      </c>
      <c r="AD27" s="61"/>
      <c r="AE27" s="61" t="s">
        <v>458</v>
      </c>
      <c r="AF27" s="61"/>
      <c r="AG27" s="61">
        <v>3.5</v>
      </c>
      <c r="AH27" s="61"/>
      <c r="AI27" s="61" t="s">
        <v>458</v>
      </c>
      <c r="AJ27" s="61"/>
      <c r="AK27" s="61">
        <v>3.5</v>
      </c>
      <c r="AL27" s="61"/>
      <c r="AM27" s="61" t="s">
        <v>458</v>
      </c>
      <c r="AN27" s="61"/>
      <c r="AO27" s="61"/>
      <c r="AP27" s="61"/>
      <c r="AQ27" s="61" t="s">
        <v>458</v>
      </c>
      <c r="AR27" s="61"/>
      <c r="AS27" s="61">
        <v>3.5</v>
      </c>
      <c r="AT27" s="61"/>
      <c r="AU27" s="68">
        <v>8</v>
      </c>
      <c r="AV27" s="61" t="s">
        <v>458</v>
      </c>
      <c r="AW27" s="61"/>
      <c r="AX27" s="61">
        <v>3.5</v>
      </c>
      <c r="AY27" s="61"/>
      <c r="AZ27" s="61" t="s">
        <v>458</v>
      </c>
      <c r="BA27" s="61"/>
      <c r="BB27" s="80">
        <v>3.5</v>
      </c>
      <c r="BC27" s="61"/>
      <c r="BD27" s="61" t="s">
        <v>458</v>
      </c>
      <c r="BE27" s="61"/>
      <c r="BF27" s="77">
        <v>4</v>
      </c>
      <c r="BG27" s="61"/>
      <c r="BH27" s="61" t="s">
        <v>458</v>
      </c>
      <c r="BI27" s="61"/>
      <c r="BJ27" s="61">
        <v>3.5</v>
      </c>
      <c r="BK27" s="61"/>
      <c r="BL27" s="61" t="s">
        <v>458</v>
      </c>
      <c r="BM27" s="61"/>
      <c r="BN27" s="77">
        <v>4</v>
      </c>
      <c r="BO27" s="61"/>
      <c r="BP27" s="61" t="s">
        <v>458</v>
      </c>
      <c r="BQ27" s="61"/>
      <c r="BR27" s="61">
        <v>4</v>
      </c>
      <c r="BS27" s="61"/>
      <c r="BT27" s="68">
        <v>8</v>
      </c>
      <c r="BU27" s="61" t="s">
        <v>458</v>
      </c>
      <c r="BV27" s="61"/>
      <c r="BW27" s="61">
        <v>4.5</v>
      </c>
      <c r="BX27" s="61"/>
      <c r="BY27" s="61" t="s">
        <v>458</v>
      </c>
      <c r="BZ27" s="61"/>
      <c r="CA27" s="61">
        <v>3.5</v>
      </c>
      <c r="CB27" s="61"/>
      <c r="CC27" s="61" t="s">
        <v>458</v>
      </c>
      <c r="CD27" s="61"/>
      <c r="CE27" s="61">
        <v>3.5</v>
      </c>
      <c r="CF27" s="61"/>
      <c r="CG27" s="61" t="s">
        <v>13</v>
      </c>
      <c r="CH27" s="61"/>
      <c r="CI27" s="61"/>
      <c r="CJ27" s="61"/>
      <c r="CK27" s="61" t="s">
        <v>458</v>
      </c>
      <c r="CL27" s="61"/>
      <c r="CM27" s="86">
        <f>21.5-17.5</f>
        <v>4</v>
      </c>
      <c r="CN27" s="61"/>
      <c r="CO27" s="61" t="s">
        <v>458</v>
      </c>
      <c r="CP27" s="61"/>
      <c r="CQ27" s="61">
        <v>1</v>
      </c>
      <c r="CR27" s="61"/>
      <c r="CS27" s="68">
        <v>8.5</v>
      </c>
      <c r="CT27" s="61" t="s">
        <v>458</v>
      </c>
      <c r="CU27" s="61"/>
      <c r="CV27" s="61">
        <v>3.5</v>
      </c>
      <c r="CW27" s="61"/>
      <c r="CX27" s="61" t="s">
        <v>458</v>
      </c>
      <c r="CY27" s="61"/>
      <c r="CZ27" s="86">
        <f>20-17.5</f>
        <v>2.5</v>
      </c>
      <c r="DA27" s="61"/>
      <c r="DB27" s="61" t="s">
        <v>458</v>
      </c>
      <c r="DC27" s="61"/>
      <c r="DD27" s="61">
        <v>4</v>
      </c>
      <c r="DE27" s="61"/>
      <c r="DF27" s="61" t="s">
        <v>458</v>
      </c>
      <c r="DG27" s="61"/>
      <c r="DH27" s="61">
        <v>3.5</v>
      </c>
      <c r="DI27" s="61"/>
      <c r="DJ27" s="61" t="s">
        <v>458</v>
      </c>
      <c r="DK27" s="61"/>
      <c r="DL27" s="80">
        <v>4</v>
      </c>
      <c r="DM27" s="61"/>
      <c r="DN27" s="61" t="s">
        <v>458</v>
      </c>
      <c r="DO27" s="61"/>
      <c r="DP27" s="61">
        <v>4</v>
      </c>
      <c r="DQ27" s="61"/>
      <c r="DR27" s="68">
        <v>8</v>
      </c>
    </row>
    <row r="28" spans="1:122" x14ac:dyDescent="0.25">
      <c r="A28" s="59">
        <v>20</v>
      </c>
      <c r="B28" s="72" t="s">
        <v>72</v>
      </c>
      <c r="C28" s="73" t="s">
        <v>73</v>
      </c>
      <c r="D28" s="60">
        <f t="shared" si="6"/>
        <v>24</v>
      </c>
      <c r="E28" s="60">
        <f t="shared" si="7"/>
        <v>69.5</v>
      </c>
      <c r="F28" s="60">
        <f t="shared" si="0"/>
        <v>0</v>
      </c>
      <c r="G28" s="60">
        <f t="shared" si="1"/>
        <v>0</v>
      </c>
      <c r="H28" s="60">
        <f t="shared" si="2"/>
        <v>0</v>
      </c>
      <c r="I28" s="60">
        <f t="shared" si="8"/>
        <v>0</v>
      </c>
      <c r="J28" s="60">
        <f t="shared" si="3"/>
        <v>0</v>
      </c>
      <c r="K28" s="60">
        <f t="shared" si="9"/>
        <v>0</v>
      </c>
      <c r="L28" s="60">
        <f t="shared" si="4"/>
        <v>0</v>
      </c>
      <c r="M28" s="60">
        <f t="shared" si="5"/>
        <v>0</v>
      </c>
      <c r="N28" s="62"/>
      <c r="O28" s="62"/>
      <c r="P28" s="62"/>
      <c r="Q28" s="62"/>
      <c r="R28" s="62"/>
      <c r="S28" s="62"/>
      <c r="T28" s="62"/>
      <c r="U28" s="62"/>
      <c r="V28" s="69"/>
      <c r="W28" s="62" t="s">
        <v>458</v>
      </c>
      <c r="X28" s="62"/>
      <c r="Y28" s="62">
        <v>4</v>
      </c>
      <c r="Z28" s="62"/>
      <c r="AA28" s="62" t="s">
        <v>458</v>
      </c>
      <c r="AB28" s="62"/>
      <c r="AC28" s="62">
        <v>4</v>
      </c>
      <c r="AD28" s="62"/>
      <c r="AE28" s="62" t="s">
        <v>458</v>
      </c>
      <c r="AF28" s="62"/>
      <c r="AG28" s="62">
        <v>3.5</v>
      </c>
      <c r="AH28" s="62"/>
      <c r="AI28" s="62" t="s">
        <v>458</v>
      </c>
      <c r="AJ28" s="62"/>
      <c r="AK28" s="62">
        <v>3.5</v>
      </c>
      <c r="AL28" s="62"/>
      <c r="AM28" s="62" t="s">
        <v>458</v>
      </c>
      <c r="AN28" s="62"/>
      <c r="AO28" s="62">
        <v>3.5</v>
      </c>
      <c r="AP28" s="62"/>
      <c r="AQ28" s="62" t="s">
        <v>458</v>
      </c>
      <c r="AR28" s="62"/>
      <c r="AS28" s="62"/>
      <c r="AT28" s="62"/>
      <c r="AU28" s="69"/>
      <c r="AV28" s="62" t="s">
        <v>458</v>
      </c>
      <c r="AW28" s="62"/>
      <c r="AX28" s="62">
        <v>3.5</v>
      </c>
      <c r="AY28" s="62"/>
      <c r="AZ28" s="62" t="s">
        <v>458</v>
      </c>
      <c r="BA28" s="62"/>
      <c r="BB28" s="81">
        <v>3.5</v>
      </c>
      <c r="BC28" s="62"/>
      <c r="BD28" s="62" t="s">
        <v>458</v>
      </c>
      <c r="BE28" s="62"/>
      <c r="BF28" s="78">
        <v>4</v>
      </c>
      <c r="BG28" s="62"/>
      <c r="BH28" s="62" t="s">
        <v>458</v>
      </c>
      <c r="BI28" s="62"/>
      <c r="BJ28" s="62">
        <v>3.5</v>
      </c>
      <c r="BK28" s="62"/>
      <c r="BL28" s="62" t="s">
        <v>458</v>
      </c>
      <c r="BM28" s="62"/>
      <c r="BN28" s="78">
        <v>4</v>
      </c>
      <c r="BO28" s="62"/>
      <c r="BP28" s="62" t="s">
        <v>458</v>
      </c>
      <c r="BQ28" s="62"/>
      <c r="BR28" s="62">
        <v>4</v>
      </c>
      <c r="BS28" s="62"/>
      <c r="BT28" s="69"/>
      <c r="BU28" s="62" t="s">
        <v>458</v>
      </c>
      <c r="BV28" s="62"/>
      <c r="BW28" s="62"/>
      <c r="BX28" s="62"/>
      <c r="BY28" s="84" t="s">
        <v>458</v>
      </c>
      <c r="BZ28" s="62"/>
      <c r="CA28" s="84">
        <v>3.5</v>
      </c>
      <c r="CB28" s="62"/>
      <c r="CC28" s="62" t="s">
        <v>458</v>
      </c>
      <c r="CD28" s="62"/>
      <c r="CE28" s="62">
        <v>3.5</v>
      </c>
      <c r="CF28" s="62"/>
      <c r="CG28" s="62" t="s">
        <v>458</v>
      </c>
      <c r="CH28" s="62"/>
      <c r="CI28" s="62">
        <v>3.5</v>
      </c>
      <c r="CJ28" s="62"/>
      <c r="CK28" s="62" t="s">
        <v>458</v>
      </c>
      <c r="CL28" s="62"/>
      <c r="CM28" s="87"/>
      <c r="CN28" s="62"/>
      <c r="CO28" s="62" t="s">
        <v>458</v>
      </c>
      <c r="CP28" s="62"/>
      <c r="CQ28" s="62">
        <v>1</v>
      </c>
      <c r="CR28" s="62"/>
      <c r="CS28" s="69"/>
      <c r="CT28" s="62" t="s">
        <v>458</v>
      </c>
      <c r="CU28" s="62"/>
      <c r="CV28" s="62">
        <v>3.5</v>
      </c>
      <c r="CW28" s="62"/>
      <c r="CX28" s="62" t="s">
        <v>458</v>
      </c>
      <c r="CY28" s="62"/>
      <c r="CZ28" s="87">
        <v>4</v>
      </c>
      <c r="DA28" s="62"/>
      <c r="DB28" s="62" t="s">
        <v>458</v>
      </c>
      <c r="DC28" s="62"/>
      <c r="DD28" s="62">
        <v>2</v>
      </c>
      <c r="DE28" s="62"/>
      <c r="DF28" s="62" t="s">
        <v>458</v>
      </c>
      <c r="DG28" s="62"/>
      <c r="DH28" s="62">
        <v>3.5</v>
      </c>
      <c r="DI28" s="62"/>
      <c r="DJ28" s="62" t="s">
        <v>458</v>
      </c>
      <c r="DK28" s="62"/>
      <c r="DL28" s="81">
        <v>4</v>
      </c>
      <c r="DM28" s="62"/>
      <c r="DN28" s="62" t="s">
        <v>458</v>
      </c>
      <c r="DO28" s="62"/>
      <c r="DP28" s="62"/>
      <c r="DQ28" s="62"/>
      <c r="DR28" s="69"/>
    </row>
    <row r="29" spans="1:122" x14ac:dyDescent="0.25">
      <c r="A29" s="59">
        <v>21</v>
      </c>
      <c r="B29" s="72" t="s">
        <v>74</v>
      </c>
      <c r="C29" s="73" t="s">
        <v>75</v>
      </c>
      <c r="D29" s="60">
        <f t="shared" si="6"/>
        <v>14</v>
      </c>
      <c r="E29" s="60">
        <f t="shared" si="7"/>
        <v>29</v>
      </c>
      <c r="F29" s="60">
        <f t="shared" si="0"/>
        <v>0</v>
      </c>
      <c r="G29" s="60">
        <f t="shared" si="1"/>
        <v>0.5</v>
      </c>
      <c r="H29" s="60">
        <f t="shared" si="2"/>
        <v>16</v>
      </c>
      <c r="I29" s="60">
        <f t="shared" si="8"/>
        <v>0</v>
      </c>
      <c r="J29" s="60">
        <f t="shared" si="3"/>
        <v>1</v>
      </c>
      <c r="K29" s="60">
        <f t="shared" si="9"/>
        <v>0</v>
      </c>
      <c r="L29" s="60">
        <f t="shared" si="4"/>
        <v>0</v>
      </c>
      <c r="M29" s="60">
        <f t="shared" si="5"/>
        <v>0</v>
      </c>
      <c r="N29" s="61"/>
      <c r="O29" s="61"/>
      <c r="P29" s="61"/>
      <c r="Q29" s="61"/>
      <c r="R29" s="61"/>
      <c r="S29" s="61"/>
      <c r="T29" s="61"/>
      <c r="U29" s="61"/>
      <c r="V29" s="68"/>
      <c r="W29" s="61"/>
      <c r="X29" s="61"/>
      <c r="Y29" s="61"/>
      <c r="Z29" s="61"/>
      <c r="AA29" s="61" t="s">
        <v>458</v>
      </c>
      <c r="AB29" s="61"/>
      <c r="AC29" s="61">
        <v>3.5</v>
      </c>
      <c r="AD29" s="61"/>
      <c r="AE29" s="61" t="s">
        <v>458</v>
      </c>
      <c r="AF29" s="61"/>
      <c r="AG29" s="61">
        <v>4</v>
      </c>
      <c r="AH29" s="61"/>
      <c r="AI29" s="61" t="s">
        <v>458</v>
      </c>
      <c r="AJ29" s="61"/>
      <c r="AK29" s="61">
        <v>3.5</v>
      </c>
      <c r="AL29" s="61"/>
      <c r="AM29" s="61" t="s">
        <v>458</v>
      </c>
      <c r="AN29" s="61">
        <v>0.5</v>
      </c>
      <c r="AO29" s="61"/>
      <c r="AP29" s="61"/>
      <c r="AQ29" s="61" t="s">
        <v>458</v>
      </c>
      <c r="AR29" s="61"/>
      <c r="AS29" s="61">
        <v>3.5</v>
      </c>
      <c r="AT29" s="61"/>
      <c r="AU29" s="68">
        <v>8</v>
      </c>
      <c r="AV29" s="61" t="s">
        <v>458</v>
      </c>
      <c r="AW29" s="61"/>
      <c r="AX29" s="61">
        <v>3.5</v>
      </c>
      <c r="AY29" s="61"/>
      <c r="AZ29" s="61" t="s">
        <v>13</v>
      </c>
      <c r="BA29" s="61"/>
      <c r="BB29" s="80"/>
      <c r="BC29" s="61"/>
      <c r="BD29" s="61" t="s">
        <v>458</v>
      </c>
      <c r="BE29" s="61"/>
      <c r="BF29" s="77">
        <v>1</v>
      </c>
      <c r="BG29" s="61"/>
      <c r="BH29" s="61" t="s">
        <v>458</v>
      </c>
      <c r="BI29" s="61"/>
      <c r="BJ29" s="61"/>
      <c r="BK29" s="61"/>
      <c r="BL29" s="61" t="s">
        <v>458</v>
      </c>
      <c r="BM29" s="61"/>
      <c r="BN29" s="77">
        <v>4</v>
      </c>
      <c r="BO29" s="61"/>
      <c r="BP29" s="61" t="s">
        <v>458</v>
      </c>
      <c r="BQ29" s="61"/>
      <c r="BR29" s="61">
        <v>4</v>
      </c>
      <c r="BS29" s="61"/>
      <c r="BT29" s="68">
        <v>8</v>
      </c>
      <c r="BU29" s="61" t="s">
        <v>458</v>
      </c>
      <c r="BV29" s="61"/>
      <c r="BW29" s="61">
        <v>1</v>
      </c>
      <c r="BX29" s="61"/>
      <c r="BY29" s="61" t="s">
        <v>458</v>
      </c>
      <c r="BZ29" s="61"/>
      <c r="CA29" s="61">
        <v>1</v>
      </c>
      <c r="CB29" s="61"/>
      <c r="CC29" s="61" t="s">
        <v>458</v>
      </c>
      <c r="CD29" s="61"/>
      <c r="CE29" s="61"/>
      <c r="CF29" s="61"/>
      <c r="CG29" s="61" t="s">
        <v>458</v>
      </c>
      <c r="CH29" s="61"/>
      <c r="CI29" s="61"/>
      <c r="CJ29" s="61"/>
      <c r="CK29" s="61"/>
      <c r="CL29" s="61"/>
      <c r="CM29" s="86"/>
      <c r="CN29" s="61"/>
      <c r="CO29" s="61"/>
      <c r="CP29" s="61"/>
      <c r="CQ29" s="61"/>
      <c r="CR29" s="61"/>
      <c r="CS29" s="68"/>
      <c r="CT29" s="61"/>
      <c r="CU29" s="61"/>
      <c r="CV29" s="61"/>
      <c r="CW29" s="61"/>
      <c r="CX29" s="61"/>
      <c r="CY29" s="61"/>
      <c r="CZ29" s="86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80"/>
      <c r="DM29" s="61"/>
      <c r="DN29" s="61"/>
      <c r="DO29" s="61"/>
      <c r="DP29" s="61"/>
      <c r="DQ29" s="61"/>
      <c r="DR29" s="68"/>
    </row>
    <row r="30" spans="1:122" x14ac:dyDescent="0.25">
      <c r="A30" s="59">
        <v>22</v>
      </c>
      <c r="B30" s="72" t="s">
        <v>76</v>
      </c>
      <c r="C30" s="73" t="s">
        <v>77</v>
      </c>
      <c r="D30" s="60">
        <f t="shared" si="6"/>
        <v>14</v>
      </c>
      <c r="E30" s="60">
        <f t="shared" si="7"/>
        <v>35</v>
      </c>
      <c r="F30" s="60">
        <f t="shared" si="0"/>
        <v>0</v>
      </c>
      <c r="G30" s="60">
        <f t="shared" si="1"/>
        <v>2</v>
      </c>
      <c r="H30" s="60">
        <f t="shared" si="2"/>
        <v>0</v>
      </c>
      <c r="I30" s="60">
        <f t="shared" si="8"/>
        <v>0</v>
      </c>
      <c r="J30" s="60">
        <f t="shared" si="3"/>
        <v>0</v>
      </c>
      <c r="K30" s="60">
        <f t="shared" si="9"/>
        <v>0</v>
      </c>
      <c r="L30" s="60">
        <f t="shared" si="4"/>
        <v>0</v>
      </c>
      <c r="M30" s="60">
        <f t="shared" si="5"/>
        <v>0</v>
      </c>
      <c r="N30" s="62"/>
      <c r="O30" s="62"/>
      <c r="P30" s="62"/>
      <c r="Q30" s="62"/>
      <c r="R30" s="62"/>
      <c r="S30" s="62"/>
      <c r="T30" s="62"/>
      <c r="U30" s="62"/>
      <c r="V30" s="69"/>
      <c r="W30" s="62"/>
      <c r="X30" s="62"/>
      <c r="Y30" s="62"/>
      <c r="Z30" s="62"/>
      <c r="AA30" s="62"/>
      <c r="AB30" s="62"/>
      <c r="AC30" s="62"/>
      <c r="AD30" s="62"/>
      <c r="AE30" s="62" t="s">
        <v>458</v>
      </c>
      <c r="AF30" s="62"/>
      <c r="AG30" s="62">
        <v>4.5</v>
      </c>
      <c r="AH30" s="62"/>
      <c r="AI30" s="62" t="s">
        <v>458</v>
      </c>
      <c r="AJ30" s="62"/>
      <c r="AK30" s="62">
        <v>3.5</v>
      </c>
      <c r="AL30" s="62"/>
      <c r="AM30" s="62" t="s">
        <v>458</v>
      </c>
      <c r="AN30" s="62"/>
      <c r="AO30" s="62">
        <v>4</v>
      </c>
      <c r="AP30" s="62"/>
      <c r="AQ30" s="62" t="s">
        <v>458</v>
      </c>
      <c r="AR30" s="62"/>
      <c r="AS30" s="62"/>
      <c r="AT30" s="62"/>
      <c r="AU30" s="69"/>
      <c r="AV30" s="62" t="s">
        <v>458</v>
      </c>
      <c r="AW30" s="62"/>
      <c r="AX30" s="62">
        <v>4</v>
      </c>
      <c r="AY30" s="62"/>
      <c r="AZ30" s="62" t="s">
        <v>458</v>
      </c>
      <c r="BA30" s="62">
        <v>2</v>
      </c>
      <c r="BB30" s="81"/>
      <c r="BC30" s="62"/>
      <c r="BD30" s="62" t="s">
        <v>458</v>
      </c>
      <c r="BE30" s="62"/>
      <c r="BF30" s="78">
        <v>4</v>
      </c>
      <c r="BG30" s="62"/>
      <c r="BH30" s="62" t="s">
        <v>458</v>
      </c>
      <c r="BI30" s="62"/>
      <c r="BJ30" s="62"/>
      <c r="BK30" s="62"/>
      <c r="BL30" s="62" t="s">
        <v>458</v>
      </c>
      <c r="BM30" s="62"/>
      <c r="BN30" s="78">
        <v>4</v>
      </c>
      <c r="BO30" s="62"/>
      <c r="BP30" s="62" t="s">
        <v>458</v>
      </c>
      <c r="BQ30" s="62"/>
      <c r="BR30" s="62">
        <v>4</v>
      </c>
      <c r="BS30" s="62"/>
      <c r="BT30" s="69"/>
      <c r="BU30" s="62" t="s">
        <v>458</v>
      </c>
      <c r="BV30" s="62"/>
      <c r="BW30" s="62"/>
      <c r="BX30" s="62"/>
      <c r="BY30" s="62" t="s">
        <v>458</v>
      </c>
      <c r="BZ30" s="62"/>
      <c r="CA30" s="62">
        <v>3.5</v>
      </c>
      <c r="CB30" s="62"/>
      <c r="CC30" s="62"/>
      <c r="CD30" s="62"/>
      <c r="CE30" s="62"/>
      <c r="CF30" s="62"/>
      <c r="CG30" s="62" t="s">
        <v>458</v>
      </c>
      <c r="CH30" s="62"/>
      <c r="CI30" s="62">
        <f>21-17.5</f>
        <v>3.5</v>
      </c>
      <c r="CJ30" s="62"/>
      <c r="CK30" s="62" t="s">
        <v>458</v>
      </c>
      <c r="CL30" s="62"/>
      <c r="CM30" s="87"/>
      <c r="CN30" s="62"/>
      <c r="CO30" s="62"/>
      <c r="CP30" s="62"/>
      <c r="CQ30" s="62"/>
      <c r="CR30" s="62"/>
      <c r="CS30" s="69"/>
      <c r="CT30" s="62"/>
      <c r="CU30" s="62"/>
      <c r="CV30" s="62"/>
      <c r="CW30" s="62"/>
      <c r="CX30" s="62"/>
      <c r="CY30" s="62"/>
      <c r="CZ30" s="87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81"/>
      <c r="DM30" s="62"/>
      <c r="DN30" s="62"/>
      <c r="DO30" s="62"/>
      <c r="DP30" s="62"/>
      <c r="DQ30" s="62"/>
      <c r="DR30" s="69"/>
    </row>
    <row r="31" spans="1:122" x14ac:dyDescent="0.25">
      <c r="A31" s="59">
        <v>23</v>
      </c>
      <c r="B31" s="72" t="s">
        <v>78</v>
      </c>
      <c r="C31" s="73" t="s">
        <v>79</v>
      </c>
      <c r="D31" s="60">
        <f t="shared" si="6"/>
        <v>12</v>
      </c>
      <c r="E31" s="60">
        <f t="shared" si="7"/>
        <v>12.5</v>
      </c>
      <c r="F31" s="60">
        <f t="shared" si="0"/>
        <v>0</v>
      </c>
      <c r="G31" s="60">
        <f t="shared" si="1"/>
        <v>2.5</v>
      </c>
      <c r="H31" s="60">
        <f t="shared" si="2"/>
        <v>8</v>
      </c>
      <c r="I31" s="60">
        <f t="shared" si="8"/>
        <v>0</v>
      </c>
      <c r="J31" s="60">
        <f t="shared" si="3"/>
        <v>0</v>
      </c>
      <c r="K31" s="60">
        <f t="shared" si="9"/>
        <v>0</v>
      </c>
      <c r="L31" s="60">
        <f t="shared" si="4"/>
        <v>0</v>
      </c>
      <c r="M31" s="60">
        <f t="shared" si="5"/>
        <v>0</v>
      </c>
      <c r="N31" s="61"/>
      <c r="O31" s="61"/>
      <c r="P31" s="61"/>
      <c r="Q31" s="61"/>
      <c r="R31" s="61"/>
      <c r="S31" s="61"/>
      <c r="T31" s="61"/>
      <c r="U31" s="61"/>
      <c r="V31" s="68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8"/>
      <c r="AV31" s="61" t="s">
        <v>458</v>
      </c>
      <c r="AW31" s="61">
        <v>2.5</v>
      </c>
      <c r="AX31" s="61"/>
      <c r="AY31" s="61"/>
      <c r="AZ31" s="61" t="s">
        <v>458</v>
      </c>
      <c r="BA31" s="61"/>
      <c r="BB31" s="80">
        <v>1</v>
      </c>
      <c r="BC31" s="61"/>
      <c r="BD31" s="61" t="s">
        <v>458</v>
      </c>
      <c r="BE31" s="61"/>
      <c r="BF31" s="77">
        <v>1</v>
      </c>
      <c r="BG31" s="61"/>
      <c r="BH31" s="61" t="s">
        <v>458</v>
      </c>
      <c r="BI31" s="61"/>
      <c r="BJ31" s="61">
        <v>1</v>
      </c>
      <c r="BK31" s="61"/>
      <c r="BL31" s="61" t="s">
        <v>458</v>
      </c>
      <c r="BM31" s="61"/>
      <c r="BN31" s="77">
        <v>1</v>
      </c>
      <c r="BO31" s="61"/>
      <c r="BP31" s="61" t="s">
        <v>458</v>
      </c>
      <c r="BQ31" s="61"/>
      <c r="BR31" s="61">
        <v>1</v>
      </c>
      <c r="BS31" s="61"/>
      <c r="BT31" s="68">
        <v>8</v>
      </c>
      <c r="BU31" s="61" t="s">
        <v>458</v>
      </c>
      <c r="BV31" s="61"/>
      <c r="BW31" s="61">
        <v>1</v>
      </c>
      <c r="BX31" s="61"/>
      <c r="BY31" s="61" t="s">
        <v>458</v>
      </c>
      <c r="BZ31" s="61"/>
      <c r="CA31" s="61"/>
      <c r="CB31" s="61"/>
      <c r="CC31" s="61" t="s">
        <v>458</v>
      </c>
      <c r="CD31" s="61"/>
      <c r="CE31" s="61">
        <f>20.5-17.5</f>
        <v>3</v>
      </c>
      <c r="CF31" s="61"/>
      <c r="CG31" s="61" t="s">
        <v>458</v>
      </c>
      <c r="CH31" s="61"/>
      <c r="CI31" s="61">
        <v>3.5</v>
      </c>
      <c r="CJ31" s="61"/>
      <c r="CK31" s="61" t="s">
        <v>458</v>
      </c>
      <c r="CL31" s="61"/>
      <c r="CM31" s="86"/>
      <c r="CN31" s="61"/>
      <c r="CO31" s="61" t="s">
        <v>458</v>
      </c>
      <c r="CP31" s="61"/>
      <c r="CQ31" s="61"/>
      <c r="CR31" s="61"/>
      <c r="CS31" s="68"/>
      <c r="CT31" s="61"/>
      <c r="CU31" s="61"/>
      <c r="CV31" s="61"/>
      <c r="CW31" s="61"/>
      <c r="CX31" s="61"/>
      <c r="CY31" s="61"/>
      <c r="CZ31" s="86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80"/>
      <c r="DM31" s="61"/>
      <c r="DN31" s="61"/>
      <c r="DO31" s="61"/>
      <c r="DP31" s="61"/>
      <c r="DQ31" s="61"/>
      <c r="DR31" s="68"/>
    </row>
    <row r="32" spans="1:122" x14ac:dyDescent="0.25">
      <c r="A32" s="59">
        <v>24</v>
      </c>
      <c r="B32" s="72" t="s">
        <v>80</v>
      </c>
      <c r="C32" s="73" t="s">
        <v>81</v>
      </c>
      <c r="D32" s="60">
        <f t="shared" si="6"/>
        <v>12</v>
      </c>
      <c r="E32" s="60">
        <f t="shared" si="7"/>
        <v>20.5</v>
      </c>
      <c r="F32" s="60">
        <f t="shared" si="0"/>
        <v>0</v>
      </c>
      <c r="G32" s="60">
        <f t="shared" si="1"/>
        <v>0</v>
      </c>
      <c r="H32" s="60">
        <f t="shared" si="2"/>
        <v>0</v>
      </c>
      <c r="I32" s="60">
        <f t="shared" si="8"/>
        <v>0</v>
      </c>
      <c r="J32" s="60">
        <f t="shared" si="3"/>
        <v>0</v>
      </c>
      <c r="K32" s="60">
        <f t="shared" si="9"/>
        <v>0</v>
      </c>
      <c r="L32" s="60">
        <f t="shared" si="4"/>
        <v>0</v>
      </c>
      <c r="M32" s="60">
        <f t="shared" si="5"/>
        <v>0</v>
      </c>
      <c r="N32" s="61"/>
      <c r="O32" s="61"/>
      <c r="P32" s="61"/>
      <c r="Q32" s="61"/>
      <c r="R32" s="61"/>
      <c r="S32" s="61"/>
      <c r="T32" s="61"/>
      <c r="U32" s="61"/>
      <c r="V32" s="68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8"/>
      <c r="AV32" s="61" t="s">
        <v>458</v>
      </c>
      <c r="AW32" s="61"/>
      <c r="AX32" s="61"/>
      <c r="AY32" s="61"/>
      <c r="AZ32" s="61" t="s">
        <v>458</v>
      </c>
      <c r="BA32" s="61"/>
      <c r="BB32" s="80">
        <v>1</v>
      </c>
      <c r="BC32" s="61"/>
      <c r="BD32" s="61" t="s">
        <v>458</v>
      </c>
      <c r="BE32" s="61"/>
      <c r="BF32" s="77">
        <v>1</v>
      </c>
      <c r="BG32" s="61"/>
      <c r="BH32" s="61" t="s">
        <v>458</v>
      </c>
      <c r="BI32" s="61"/>
      <c r="BJ32" s="61">
        <v>1</v>
      </c>
      <c r="BK32" s="61"/>
      <c r="BL32" s="61" t="s">
        <v>458</v>
      </c>
      <c r="BM32" s="61"/>
      <c r="BN32" s="77">
        <v>4</v>
      </c>
      <c r="BO32" s="61"/>
      <c r="BP32" s="61" t="s">
        <v>458</v>
      </c>
      <c r="BQ32" s="61"/>
      <c r="BR32" s="61">
        <v>4</v>
      </c>
      <c r="BS32" s="61"/>
      <c r="BT32" s="68"/>
      <c r="BU32" s="61" t="s">
        <v>458</v>
      </c>
      <c r="BV32" s="61"/>
      <c r="BW32" s="61">
        <v>3</v>
      </c>
      <c r="BX32" s="61"/>
      <c r="BY32" s="61" t="s">
        <v>458</v>
      </c>
      <c r="BZ32" s="61"/>
      <c r="CA32" s="61"/>
      <c r="CB32" s="61"/>
      <c r="CC32" s="61" t="s">
        <v>458</v>
      </c>
      <c r="CD32" s="61"/>
      <c r="CE32" s="61">
        <f t="shared" ref="CE32:CE33" si="10">20.5-17.5</f>
        <v>3</v>
      </c>
      <c r="CF32" s="61"/>
      <c r="CG32" s="61" t="s">
        <v>458</v>
      </c>
      <c r="CH32" s="61"/>
      <c r="CI32" s="61">
        <v>3.5</v>
      </c>
      <c r="CJ32" s="61"/>
      <c r="CK32" s="61" t="s">
        <v>458</v>
      </c>
      <c r="CL32" s="61"/>
      <c r="CM32" s="86"/>
      <c r="CN32" s="61"/>
      <c r="CO32" s="61" t="s">
        <v>458</v>
      </c>
      <c r="CP32" s="61"/>
      <c r="CQ32" s="61"/>
      <c r="CR32" s="61"/>
      <c r="CS32" s="68"/>
      <c r="CT32" s="61"/>
      <c r="CU32" s="61"/>
      <c r="CV32" s="61"/>
      <c r="CW32" s="61"/>
      <c r="CX32" s="61"/>
      <c r="CY32" s="61"/>
      <c r="CZ32" s="86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80"/>
      <c r="DM32" s="61"/>
      <c r="DN32" s="61"/>
      <c r="DO32" s="61"/>
      <c r="DP32" s="61"/>
      <c r="DQ32" s="61"/>
      <c r="DR32" s="68"/>
    </row>
    <row r="33" spans="1:122" x14ac:dyDescent="0.25">
      <c r="A33" s="59">
        <v>25</v>
      </c>
      <c r="B33" s="72" t="s">
        <v>82</v>
      </c>
      <c r="C33" s="73" t="s">
        <v>83</v>
      </c>
      <c r="D33" s="60">
        <f t="shared" si="6"/>
        <v>12</v>
      </c>
      <c r="E33" s="60">
        <f t="shared" si="7"/>
        <v>22.5</v>
      </c>
      <c r="F33" s="60">
        <f t="shared" si="0"/>
        <v>0</v>
      </c>
      <c r="G33" s="60">
        <f t="shared" si="1"/>
        <v>0</v>
      </c>
      <c r="H33" s="60">
        <f t="shared" si="2"/>
        <v>0</v>
      </c>
      <c r="I33" s="60">
        <f t="shared" si="8"/>
        <v>0</v>
      </c>
      <c r="J33" s="60">
        <f t="shared" si="3"/>
        <v>0</v>
      </c>
      <c r="K33" s="60">
        <f t="shared" si="9"/>
        <v>0</v>
      </c>
      <c r="L33" s="60">
        <f t="shared" si="4"/>
        <v>0</v>
      </c>
      <c r="M33" s="60">
        <f t="shared" si="5"/>
        <v>0</v>
      </c>
      <c r="N33" s="61"/>
      <c r="O33" s="61"/>
      <c r="P33" s="61"/>
      <c r="Q33" s="61"/>
      <c r="R33" s="61"/>
      <c r="S33" s="61"/>
      <c r="T33" s="61"/>
      <c r="U33" s="61"/>
      <c r="V33" s="68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8"/>
      <c r="AV33" s="61" t="s">
        <v>458</v>
      </c>
      <c r="AW33" s="61"/>
      <c r="AX33" s="61"/>
      <c r="AY33" s="61"/>
      <c r="AZ33" s="61" t="s">
        <v>458</v>
      </c>
      <c r="BA33" s="61"/>
      <c r="BB33" s="80">
        <v>1</v>
      </c>
      <c r="BC33" s="61"/>
      <c r="BD33" s="61" t="s">
        <v>458</v>
      </c>
      <c r="BE33" s="61"/>
      <c r="BF33" s="77">
        <v>1</v>
      </c>
      <c r="BG33" s="61"/>
      <c r="BH33" s="61" t="s">
        <v>458</v>
      </c>
      <c r="BI33" s="61"/>
      <c r="BJ33" s="61">
        <f>20.5-17.5</f>
        <v>3</v>
      </c>
      <c r="BK33" s="61"/>
      <c r="BL33" s="61" t="s">
        <v>458</v>
      </c>
      <c r="BM33" s="61"/>
      <c r="BN33" s="77">
        <v>4</v>
      </c>
      <c r="BO33" s="61"/>
      <c r="BP33" s="61" t="s">
        <v>458</v>
      </c>
      <c r="BQ33" s="61"/>
      <c r="BR33" s="61">
        <v>4</v>
      </c>
      <c r="BS33" s="61"/>
      <c r="BT33" s="68"/>
      <c r="BU33" s="61" t="s">
        <v>458</v>
      </c>
      <c r="BV33" s="61"/>
      <c r="BW33" s="61">
        <v>3</v>
      </c>
      <c r="BX33" s="61"/>
      <c r="BY33" s="61" t="s">
        <v>458</v>
      </c>
      <c r="BZ33" s="61"/>
      <c r="CA33" s="61"/>
      <c r="CB33" s="61"/>
      <c r="CC33" s="61" t="s">
        <v>458</v>
      </c>
      <c r="CD33" s="61"/>
      <c r="CE33" s="61">
        <f t="shared" si="10"/>
        <v>3</v>
      </c>
      <c r="CF33" s="61"/>
      <c r="CG33" s="61" t="s">
        <v>458</v>
      </c>
      <c r="CH33" s="61"/>
      <c r="CI33" s="61">
        <f>21-17.5</f>
        <v>3.5</v>
      </c>
      <c r="CJ33" s="61"/>
      <c r="CK33" s="61" t="s">
        <v>458</v>
      </c>
      <c r="CL33" s="61"/>
      <c r="CM33" s="86"/>
      <c r="CN33" s="61"/>
      <c r="CO33" s="61" t="s">
        <v>458</v>
      </c>
      <c r="CP33" s="61"/>
      <c r="CQ33" s="61"/>
      <c r="CR33" s="61"/>
      <c r="CS33" s="68"/>
      <c r="CT33" s="61"/>
      <c r="CU33" s="61"/>
      <c r="CV33" s="61"/>
      <c r="CW33" s="61"/>
      <c r="CX33" s="61"/>
      <c r="CY33" s="61"/>
      <c r="CZ33" s="86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80"/>
      <c r="DM33" s="61"/>
      <c r="DN33" s="61"/>
      <c r="DO33" s="61"/>
      <c r="DP33" s="61"/>
      <c r="DQ33" s="61"/>
      <c r="DR33" s="68"/>
    </row>
    <row r="34" spans="1:122" x14ac:dyDescent="0.25">
      <c r="A34" s="59">
        <v>26</v>
      </c>
      <c r="B34" s="72" t="s">
        <v>84</v>
      </c>
      <c r="C34" s="73" t="s">
        <v>85</v>
      </c>
      <c r="D34" s="60">
        <f t="shared" si="6"/>
        <v>9</v>
      </c>
      <c r="E34" s="60">
        <f t="shared" si="7"/>
        <v>10.5</v>
      </c>
      <c r="F34" s="60">
        <f t="shared" si="0"/>
        <v>0</v>
      </c>
      <c r="G34" s="60">
        <f t="shared" si="1"/>
        <v>0</v>
      </c>
      <c r="H34" s="60">
        <f t="shared" si="2"/>
        <v>0</v>
      </c>
      <c r="I34" s="60">
        <f t="shared" si="8"/>
        <v>0</v>
      </c>
      <c r="J34" s="60">
        <f t="shared" si="3"/>
        <v>0</v>
      </c>
      <c r="K34" s="60">
        <f t="shared" si="9"/>
        <v>0</v>
      </c>
      <c r="L34" s="60">
        <f t="shared" si="4"/>
        <v>0</v>
      </c>
      <c r="M34" s="60">
        <f t="shared" si="5"/>
        <v>0</v>
      </c>
      <c r="N34" s="61"/>
      <c r="O34" s="61"/>
      <c r="P34" s="61"/>
      <c r="Q34" s="61"/>
      <c r="R34" s="61"/>
      <c r="S34" s="61"/>
      <c r="T34" s="61"/>
      <c r="U34" s="61"/>
      <c r="V34" s="68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8"/>
      <c r="AV34" s="61"/>
      <c r="AW34" s="61"/>
      <c r="AX34" s="61"/>
      <c r="AY34" s="61"/>
      <c r="AZ34" s="61"/>
      <c r="BA34" s="61"/>
      <c r="BB34" s="80"/>
      <c r="BC34" s="61"/>
      <c r="BD34" s="61"/>
      <c r="BE34" s="61"/>
      <c r="BF34" s="77"/>
      <c r="BG34" s="61"/>
      <c r="BH34" s="61"/>
      <c r="BI34" s="61"/>
      <c r="BJ34" s="61"/>
      <c r="BK34" s="61"/>
      <c r="BL34" s="61"/>
      <c r="BM34" s="61"/>
      <c r="BN34" s="77"/>
      <c r="BO34" s="61"/>
      <c r="BP34" s="61"/>
      <c r="BQ34" s="61"/>
      <c r="BR34" s="61"/>
      <c r="BS34" s="61"/>
      <c r="BT34" s="68"/>
      <c r="BU34" s="61"/>
      <c r="BV34" s="61"/>
      <c r="BW34" s="61"/>
      <c r="BX34" s="61"/>
      <c r="BY34" s="61"/>
      <c r="BZ34" s="61"/>
      <c r="CA34" s="61"/>
      <c r="CB34" s="61"/>
      <c r="CC34" s="61" t="s">
        <v>458</v>
      </c>
      <c r="CD34" s="61"/>
      <c r="CE34" s="61"/>
      <c r="CF34" s="61"/>
      <c r="CG34" s="61" t="s">
        <v>458</v>
      </c>
      <c r="CH34" s="61"/>
      <c r="CI34" s="61">
        <v>1</v>
      </c>
      <c r="CJ34" s="61"/>
      <c r="CK34" s="61" t="s">
        <v>458</v>
      </c>
      <c r="CL34" s="61"/>
      <c r="CM34" s="86">
        <v>1</v>
      </c>
      <c r="CN34" s="61"/>
      <c r="CO34" s="61"/>
      <c r="CP34" s="61"/>
      <c r="CQ34" s="61"/>
      <c r="CR34" s="61"/>
      <c r="CS34" s="68"/>
      <c r="CT34" s="61" t="s">
        <v>458</v>
      </c>
      <c r="CU34" s="61"/>
      <c r="CV34" s="61">
        <v>1</v>
      </c>
      <c r="CW34" s="61"/>
      <c r="CX34" s="61" t="s">
        <v>458</v>
      </c>
      <c r="CY34" s="61"/>
      <c r="CZ34" s="86">
        <v>1</v>
      </c>
      <c r="DA34" s="61"/>
      <c r="DB34" s="61" t="s">
        <v>458</v>
      </c>
      <c r="DC34" s="61"/>
      <c r="DD34" s="61">
        <v>1</v>
      </c>
      <c r="DE34" s="61"/>
      <c r="DF34" s="61" t="s">
        <v>458</v>
      </c>
      <c r="DG34" s="61"/>
      <c r="DH34" s="61">
        <v>3.5</v>
      </c>
      <c r="DI34" s="61"/>
      <c r="DJ34" s="61" t="s">
        <v>458</v>
      </c>
      <c r="DK34" s="61"/>
      <c r="DL34" s="80">
        <v>1</v>
      </c>
      <c r="DM34" s="61"/>
      <c r="DN34" s="61" t="s">
        <v>458</v>
      </c>
      <c r="DO34" s="61"/>
      <c r="DP34" s="61">
        <v>1</v>
      </c>
      <c r="DQ34" s="61"/>
      <c r="DR34" s="68"/>
    </row>
    <row r="35" spans="1:122" x14ac:dyDescent="0.25">
      <c r="A35" s="59">
        <v>27</v>
      </c>
      <c r="B35" s="72" t="s">
        <v>86</v>
      </c>
      <c r="C35" s="73" t="s">
        <v>87</v>
      </c>
      <c r="D35" s="60">
        <f t="shared" si="6"/>
        <v>8</v>
      </c>
      <c r="E35" s="60">
        <f t="shared" si="7"/>
        <v>25</v>
      </c>
      <c r="F35" s="60">
        <f t="shared" si="0"/>
        <v>0</v>
      </c>
      <c r="G35" s="60">
        <f t="shared" si="1"/>
        <v>0</v>
      </c>
      <c r="H35" s="60">
        <f t="shared" si="2"/>
        <v>0</v>
      </c>
      <c r="I35" s="60">
        <f t="shared" si="8"/>
        <v>0</v>
      </c>
      <c r="J35" s="60">
        <f t="shared" si="3"/>
        <v>0</v>
      </c>
      <c r="K35" s="60">
        <f t="shared" si="9"/>
        <v>0</v>
      </c>
      <c r="L35" s="60">
        <f t="shared" si="4"/>
        <v>0</v>
      </c>
      <c r="M35" s="60">
        <f t="shared" si="5"/>
        <v>0</v>
      </c>
      <c r="N35" s="61"/>
      <c r="O35" s="61"/>
      <c r="P35" s="61"/>
      <c r="Q35" s="61"/>
      <c r="R35" s="61"/>
      <c r="S35" s="61"/>
      <c r="T35" s="61"/>
      <c r="U35" s="61"/>
      <c r="V35" s="68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8"/>
      <c r="AV35" s="61"/>
      <c r="AW35" s="61"/>
      <c r="AX35" s="61"/>
      <c r="AY35" s="61"/>
      <c r="AZ35" s="61"/>
      <c r="BA35" s="61"/>
      <c r="BB35" s="80"/>
      <c r="BC35" s="61"/>
      <c r="BD35" s="61"/>
      <c r="BE35" s="61"/>
      <c r="BF35" s="77"/>
      <c r="BG35" s="61"/>
      <c r="BH35" s="61"/>
      <c r="BI35" s="61"/>
      <c r="BJ35" s="61"/>
      <c r="BK35" s="61"/>
      <c r="BL35" s="61"/>
      <c r="BM35" s="61"/>
      <c r="BN35" s="77"/>
      <c r="BO35" s="61"/>
      <c r="BP35" s="61"/>
      <c r="BQ35" s="61"/>
      <c r="BR35" s="61"/>
      <c r="BS35" s="61"/>
      <c r="BT35" s="68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 t="s">
        <v>458</v>
      </c>
      <c r="CH35" s="61"/>
      <c r="CI35" s="61">
        <v>3.5</v>
      </c>
      <c r="CJ35" s="61"/>
      <c r="CK35" s="61" t="s">
        <v>458</v>
      </c>
      <c r="CL35" s="61"/>
      <c r="CM35" s="86">
        <v>4.5</v>
      </c>
      <c r="CN35" s="61"/>
      <c r="CO35" s="61"/>
      <c r="CP35" s="61"/>
      <c r="CQ35" s="61"/>
      <c r="CR35" s="61"/>
      <c r="CS35" s="68"/>
      <c r="CT35" s="61" t="s">
        <v>458</v>
      </c>
      <c r="CU35" s="61"/>
      <c r="CV35" s="61">
        <v>3.5</v>
      </c>
      <c r="CW35" s="61"/>
      <c r="CX35" s="61" t="s">
        <v>458</v>
      </c>
      <c r="CY35" s="61"/>
      <c r="CZ35" s="86">
        <v>4</v>
      </c>
      <c r="DA35" s="61"/>
      <c r="DB35" s="61" t="s">
        <v>458</v>
      </c>
      <c r="DC35" s="61"/>
      <c r="DD35" s="61">
        <v>2</v>
      </c>
      <c r="DE35" s="61"/>
      <c r="DF35" s="61" t="s">
        <v>458</v>
      </c>
      <c r="DG35" s="61"/>
      <c r="DH35" s="61">
        <v>3.5</v>
      </c>
      <c r="DI35" s="61"/>
      <c r="DJ35" s="61" t="s">
        <v>458</v>
      </c>
      <c r="DK35" s="61"/>
      <c r="DL35" s="80">
        <v>4</v>
      </c>
      <c r="DM35" s="61"/>
      <c r="DN35" s="61" t="s">
        <v>458</v>
      </c>
      <c r="DO35" s="61"/>
      <c r="DP35" s="61"/>
      <c r="DQ35" s="61"/>
      <c r="DR35" s="68"/>
    </row>
    <row r="36" spans="1:122" x14ac:dyDescent="0.25">
      <c r="A36" s="59">
        <v>28</v>
      </c>
      <c r="B36" s="72" t="s">
        <v>88</v>
      </c>
      <c r="C36" s="73" t="s">
        <v>89</v>
      </c>
      <c r="D36" s="60">
        <f t="shared" si="6"/>
        <v>8</v>
      </c>
      <c r="E36" s="60">
        <f t="shared" si="7"/>
        <v>25</v>
      </c>
      <c r="F36" s="60">
        <f t="shared" si="0"/>
        <v>0</v>
      </c>
      <c r="G36" s="60">
        <f t="shared" si="1"/>
        <v>0</v>
      </c>
      <c r="H36" s="60">
        <f t="shared" si="2"/>
        <v>0</v>
      </c>
      <c r="I36" s="60">
        <f t="shared" si="8"/>
        <v>0</v>
      </c>
      <c r="J36" s="60">
        <f t="shared" si="3"/>
        <v>0</v>
      </c>
      <c r="K36" s="60">
        <f t="shared" si="9"/>
        <v>0</v>
      </c>
      <c r="L36" s="60">
        <f t="shared" si="4"/>
        <v>0</v>
      </c>
      <c r="M36" s="60">
        <f t="shared" si="5"/>
        <v>0</v>
      </c>
      <c r="N36" s="61"/>
      <c r="O36" s="61"/>
      <c r="P36" s="61"/>
      <c r="Q36" s="61"/>
      <c r="R36" s="61"/>
      <c r="S36" s="61"/>
      <c r="T36" s="61"/>
      <c r="U36" s="61"/>
      <c r="V36" s="68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8"/>
      <c r="AV36" s="61"/>
      <c r="AW36" s="61"/>
      <c r="AX36" s="61"/>
      <c r="AY36" s="61"/>
      <c r="AZ36" s="61"/>
      <c r="BA36" s="61"/>
      <c r="BB36" s="80"/>
      <c r="BC36" s="61"/>
      <c r="BD36" s="61"/>
      <c r="BE36" s="61"/>
      <c r="BF36" s="77"/>
      <c r="BG36" s="61"/>
      <c r="BH36" s="61"/>
      <c r="BI36" s="61"/>
      <c r="BJ36" s="61"/>
      <c r="BK36" s="61"/>
      <c r="BL36" s="61"/>
      <c r="BM36" s="61"/>
      <c r="BN36" s="77"/>
      <c r="BO36" s="61"/>
      <c r="BP36" s="61"/>
      <c r="BQ36" s="61"/>
      <c r="BR36" s="61"/>
      <c r="BS36" s="61"/>
      <c r="BT36" s="68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 t="s">
        <v>458</v>
      </c>
      <c r="CH36" s="61"/>
      <c r="CI36" s="61">
        <v>3.5</v>
      </c>
      <c r="CJ36" s="61"/>
      <c r="CK36" s="61" t="s">
        <v>458</v>
      </c>
      <c r="CL36" s="61"/>
      <c r="CM36" s="86">
        <v>4.5</v>
      </c>
      <c r="CN36" s="61"/>
      <c r="CO36" s="61"/>
      <c r="CP36" s="61"/>
      <c r="CQ36" s="61"/>
      <c r="CR36" s="61"/>
      <c r="CS36" s="68"/>
      <c r="CT36" s="61" t="s">
        <v>458</v>
      </c>
      <c r="CU36" s="61"/>
      <c r="CV36" s="61">
        <v>3.5</v>
      </c>
      <c r="CW36" s="61"/>
      <c r="CX36" s="61" t="s">
        <v>458</v>
      </c>
      <c r="CY36" s="61"/>
      <c r="CZ36" s="86">
        <v>4</v>
      </c>
      <c r="DA36" s="61"/>
      <c r="DB36" s="61" t="s">
        <v>458</v>
      </c>
      <c r="DC36" s="61"/>
      <c r="DD36" s="61">
        <v>2</v>
      </c>
      <c r="DE36" s="61"/>
      <c r="DF36" s="61" t="s">
        <v>458</v>
      </c>
      <c r="DG36" s="61"/>
      <c r="DH36" s="61">
        <v>3.5</v>
      </c>
      <c r="DI36" s="61"/>
      <c r="DJ36" s="61" t="s">
        <v>458</v>
      </c>
      <c r="DK36" s="61"/>
      <c r="DL36" s="80">
        <v>4</v>
      </c>
      <c r="DM36" s="61"/>
      <c r="DN36" s="61" t="s">
        <v>458</v>
      </c>
      <c r="DO36" s="61"/>
      <c r="DP36" s="61"/>
      <c r="DQ36" s="61"/>
      <c r="DR36" s="68"/>
    </row>
    <row r="37" spans="1:122" x14ac:dyDescent="0.25">
      <c r="A37" s="59">
        <v>29</v>
      </c>
      <c r="B37" s="72" t="s">
        <v>499</v>
      </c>
      <c r="C37" s="73" t="s">
        <v>482</v>
      </c>
      <c r="D37" s="60">
        <f t="shared" si="6"/>
        <v>5</v>
      </c>
      <c r="E37" s="60">
        <f>IF(C37="",0,SUMIFS($N37:$DR37,$N$7:$DR$7,$I$2,$N$6:$DR$6,1))</f>
        <v>14.5</v>
      </c>
      <c r="F37" s="60">
        <f>IF(C37="",0,SUMIFS($N37:$DR37,$N$7:$DR$7,$I$3,$N$6:$DR$6,1))</f>
        <v>0</v>
      </c>
      <c r="G37" s="60">
        <f>IF(C37="",0,SUMIFS(N37:DR37,$N$7:$DR$7,"ĐT/VS"))</f>
        <v>0</v>
      </c>
      <c r="H37" s="60">
        <f>IF(E37="",0,SUMIFS($N37:$DR37,$N$7:$DR$7,$I$1,$N$6:$DR$6,2))</f>
        <v>8</v>
      </c>
      <c r="I37" s="60">
        <f>COUNTIF($N37:$DR37,$R$2)</f>
        <v>0</v>
      </c>
      <c r="J37" s="60">
        <f>COUNTIF($N37:$DR37,$O$3)</f>
        <v>0</v>
      </c>
      <c r="K37" s="60">
        <f>COUNTIF($N37:$DQ37,$R$1)</f>
        <v>0</v>
      </c>
      <c r="L37" s="60">
        <f>COUNTIF($N37:$DQ37,$O$2)</f>
        <v>0</v>
      </c>
      <c r="M37" s="60">
        <f>COUNTIF($N37:$DQ37,$O$1)</f>
        <v>0</v>
      </c>
      <c r="N37" s="72"/>
      <c r="O37" s="72"/>
      <c r="P37" s="72"/>
      <c r="Q37" s="72"/>
      <c r="R37" s="72"/>
      <c r="S37" s="72"/>
      <c r="T37" s="72"/>
      <c r="U37" s="72"/>
      <c r="V37" s="11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 t="s">
        <v>458</v>
      </c>
      <c r="AJ37" s="72"/>
      <c r="AK37" s="72">
        <v>3.5</v>
      </c>
      <c r="AL37" s="72"/>
      <c r="AM37" s="72" t="s">
        <v>458</v>
      </c>
      <c r="AN37" s="72"/>
      <c r="AO37" s="72">
        <v>3.5</v>
      </c>
      <c r="AP37" s="72"/>
      <c r="AQ37" s="72" t="s">
        <v>458</v>
      </c>
      <c r="AR37" s="72"/>
      <c r="AS37" s="72">
        <v>3.5</v>
      </c>
      <c r="AT37" s="72"/>
      <c r="AU37" s="68">
        <v>8</v>
      </c>
      <c r="AV37" s="72" t="s">
        <v>458</v>
      </c>
      <c r="AW37" s="72"/>
      <c r="AX37" s="72"/>
      <c r="AY37" s="72"/>
      <c r="AZ37" s="72" t="s">
        <v>458</v>
      </c>
      <c r="BA37" s="72"/>
      <c r="BB37" s="113">
        <v>4</v>
      </c>
      <c r="BC37" s="72"/>
      <c r="BD37" s="72"/>
      <c r="BE37" s="72"/>
      <c r="BF37" s="117"/>
      <c r="BG37" s="72"/>
      <c r="BH37" s="72"/>
      <c r="BI37" s="72"/>
      <c r="BJ37" s="72"/>
      <c r="BK37" s="72"/>
      <c r="BL37" s="72"/>
      <c r="BM37" s="72"/>
      <c r="BN37" s="117"/>
      <c r="BO37" s="72"/>
      <c r="BP37" s="72"/>
      <c r="BQ37" s="72"/>
      <c r="BR37" s="72"/>
      <c r="BS37" s="72"/>
      <c r="BT37" s="69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114"/>
      <c r="CN37" s="72"/>
      <c r="CO37" s="72"/>
      <c r="CP37" s="72"/>
      <c r="CQ37" s="72"/>
      <c r="CR37" s="72"/>
      <c r="CS37" s="68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114"/>
      <c r="DE37" s="72"/>
      <c r="DF37" s="72"/>
      <c r="DG37" s="72"/>
      <c r="DH37" s="72"/>
      <c r="DI37" s="72"/>
      <c r="DJ37" s="72"/>
      <c r="DK37" s="72"/>
      <c r="DL37" s="113"/>
      <c r="DM37" s="72"/>
      <c r="DN37" s="72"/>
      <c r="DO37" s="72"/>
      <c r="DP37" s="72"/>
      <c r="DQ37" s="72"/>
      <c r="DR37" s="68"/>
    </row>
    <row r="38" spans="1:122" x14ac:dyDescent="0.25">
      <c r="A38" s="59">
        <v>30</v>
      </c>
      <c r="B38" s="72" t="s">
        <v>315</v>
      </c>
      <c r="C38" s="73" t="s">
        <v>316</v>
      </c>
      <c r="D38" s="60">
        <f t="shared" si="6"/>
        <v>11</v>
      </c>
      <c r="E38" s="60">
        <f t="shared" si="7"/>
        <v>0</v>
      </c>
      <c r="F38" s="60">
        <f t="shared" si="0"/>
        <v>0</v>
      </c>
      <c r="G38" s="60">
        <f t="shared" si="1"/>
        <v>0</v>
      </c>
      <c r="H38" s="60">
        <f t="shared" si="2"/>
        <v>0</v>
      </c>
      <c r="I38" s="60">
        <f t="shared" si="8"/>
        <v>0</v>
      </c>
      <c r="J38" s="60">
        <f t="shared" si="3"/>
        <v>0</v>
      </c>
      <c r="K38" s="60">
        <f t="shared" si="9"/>
        <v>0</v>
      </c>
      <c r="L38" s="60">
        <f t="shared" si="4"/>
        <v>0</v>
      </c>
      <c r="M38" s="60">
        <f t="shared" si="5"/>
        <v>0</v>
      </c>
      <c r="N38" s="61"/>
      <c r="O38" s="61"/>
      <c r="P38" s="61"/>
      <c r="Q38" s="61"/>
      <c r="R38" s="61"/>
      <c r="S38" s="61"/>
      <c r="T38" s="61"/>
      <c r="U38" s="61"/>
      <c r="V38" s="68"/>
      <c r="W38" s="61"/>
      <c r="X38" s="61"/>
      <c r="Y38" s="61"/>
      <c r="Z38" s="61"/>
      <c r="AA38" s="61" t="s">
        <v>458</v>
      </c>
      <c r="AB38" s="61"/>
      <c r="AC38" s="61"/>
      <c r="AD38" s="61"/>
      <c r="AE38" s="61" t="s">
        <v>458</v>
      </c>
      <c r="AF38" s="61"/>
      <c r="AG38" s="61"/>
      <c r="AH38" s="61"/>
      <c r="AI38" s="61" t="s">
        <v>458</v>
      </c>
      <c r="AJ38" s="61"/>
      <c r="AK38" s="61"/>
      <c r="AL38" s="61"/>
      <c r="AM38" s="61" t="s">
        <v>478</v>
      </c>
      <c r="AN38" s="61"/>
      <c r="AO38" s="61"/>
      <c r="AP38" s="61"/>
      <c r="AQ38" s="61" t="s">
        <v>458</v>
      </c>
      <c r="AR38" s="61"/>
      <c r="AS38" s="61"/>
      <c r="AT38" s="61"/>
      <c r="AU38" s="68"/>
      <c r="AV38" s="61" t="s">
        <v>458</v>
      </c>
      <c r="AW38" s="61"/>
      <c r="AX38" s="61"/>
      <c r="AY38" s="61"/>
      <c r="AZ38" s="61" t="s">
        <v>478</v>
      </c>
      <c r="BA38" s="61"/>
      <c r="BB38" s="80"/>
      <c r="BC38" s="61"/>
      <c r="BD38" s="61" t="s">
        <v>458</v>
      </c>
      <c r="BE38" s="61"/>
      <c r="BF38" s="77"/>
      <c r="BG38" s="61"/>
      <c r="BH38" s="61" t="s">
        <v>458</v>
      </c>
      <c r="BI38" s="61"/>
      <c r="BJ38" s="61"/>
      <c r="BK38" s="61"/>
      <c r="BL38" s="61" t="s">
        <v>458</v>
      </c>
      <c r="BM38" s="61"/>
      <c r="BN38" s="77"/>
      <c r="BO38" s="61"/>
      <c r="BP38" s="61" t="s">
        <v>458</v>
      </c>
      <c r="BQ38" s="61"/>
      <c r="BR38" s="83"/>
      <c r="BS38" s="61"/>
      <c r="BT38" s="68"/>
      <c r="BU38" s="61" t="s">
        <v>458</v>
      </c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86"/>
      <c r="CN38" s="61"/>
      <c r="CO38" s="61"/>
      <c r="CP38" s="61"/>
      <c r="CQ38" s="61"/>
      <c r="CR38" s="61"/>
      <c r="CS38" s="68"/>
      <c r="CT38" s="61"/>
      <c r="CU38" s="61"/>
      <c r="CV38" s="61"/>
      <c r="CW38" s="61"/>
      <c r="CX38" s="61"/>
      <c r="CY38" s="61"/>
      <c r="CZ38" s="86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80"/>
      <c r="DM38" s="61"/>
      <c r="DN38" s="61"/>
      <c r="DO38" s="61"/>
      <c r="DP38" s="61"/>
      <c r="DQ38" s="61"/>
      <c r="DR38" s="68"/>
    </row>
    <row r="39" spans="1:122" x14ac:dyDescent="0.25">
      <c r="A39" s="365" t="s">
        <v>518</v>
      </c>
      <c r="B39" s="366"/>
      <c r="C39" s="367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61"/>
      <c r="P39" s="61"/>
      <c r="Q39" s="61"/>
      <c r="R39" s="61"/>
      <c r="S39" s="61"/>
      <c r="T39" s="61"/>
      <c r="U39" s="61"/>
      <c r="V39" s="68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8"/>
      <c r="AV39" s="61"/>
      <c r="AW39" s="61"/>
      <c r="AX39" s="61"/>
      <c r="AY39" s="61"/>
      <c r="AZ39" s="61"/>
      <c r="BA39" s="61"/>
      <c r="BB39" s="80"/>
      <c r="BC39" s="61"/>
      <c r="BD39" s="61"/>
      <c r="BE39" s="61"/>
      <c r="BF39" s="77"/>
      <c r="BG39" s="61"/>
      <c r="BH39" s="61"/>
      <c r="BI39" s="61"/>
      <c r="BJ39" s="61"/>
      <c r="BK39" s="61"/>
      <c r="BL39" s="61"/>
      <c r="BM39" s="61"/>
      <c r="BN39" s="77"/>
      <c r="BO39" s="61"/>
      <c r="BP39" s="61"/>
      <c r="BQ39" s="61"/>
      <c r="BR39" s="83"/>
      <c r="BS39" s="61"/>
      <c r="BT39" s="68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86"/>
      <c r="CN39" s="61"/>
      <c r="CO39" s="61"/>
      <c r="CP39" s="61"/>
      <c r="CQ39" s="61"/>
      <c r="CR39" s="61"/>
      <c r="CS39" s="68"/>
      <c r="CT39" s="61"/>
      <c r="CU39" s="61"/>
      <c r="CV39" s="61"/>
      <c r="CW39" s="61"/>
      <c r="CX39" s="61"/>
      <c r="CY39" s="61"/>
      <c r="CZ39" s="86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80"/>
      <c r="DM39" s="61"/>
      <c r="DN39" s="61"/>
      <c r="DO39" s="61"/>
      <c r="DP39" s="61"/>
      <c r="DQ39" s="61"/>
      <c r="DR39" s="68"/>
    </row>
    <row r="40" spans="1:122" x14ac:dyDescent="0.25">
      <c r="A40" s="59">
        <v>31</v>
      </c>
      <c r="B40" s="72" t="s">
        <v>90</v>
      </c>
      <c r="C40" s="73" t="s">
        <v>91</v>
      </c>
      <c r="D40" s="60">
        <f t="shared" si="6"/>
        <v>25</v>
      </c>
      <c r="E40" s="60">
        <f t="shared" si="7"/>
        <v>56</v>
      </c>
      <c r="F40" s="60">
        <f t="shared" si="0"/>
        <v>23</v>
      </c>
      <c r="G40" s="60">
        <f t="shared" si="1"/>
        <v>0</v>
      </c>
      <c r="H40" s="60">
        <f t="shared" si="2"/>
        <v>19</v>
      </c>
      <c r="I40" s="60">
        <f t="shared" si="8"/>
        <v>0</v>
      </c>
      <c r="J40" s="60">
        <f t="shared" si="3"/>
        <v>1</v>
      </c>
      <c r="K40" s="60">
        <f t="shared" si="9"/>
        <v>0</v>
      </c>
      <c r="L40" s="60">
        <f t="shared" si="4"/>
        <v>0</v>
      </c>
      <c r="M40" s="60">
        <f t="shared" si="5"/>
        <v>0</v>
      </c>
      <c r="N40" s="61" t="s">
        <v>458</v>
      </c>
      <c r="O40" s="72"/>
      <c r="P40" s="61">
        <v>1.5</v>
      </c>
      <c r="Q40" s="61"/>
      <c r="R40" s="61" t="s">
        <v>458</v>
      </c>
      <c r="S40" s="61"/>
      <c r="T40" s="61">
        <v>2.5</v>
      </c>
      <c r="U40" s="61">
        <v>4.5</v>
      </c>
      <c r="V40" s="68"/>
      <c r="W40" s="61" t="s">
        <v>458</v>
      </c>
      <c r="X40" s="61"/>
      <c r="Y40" s="61">
        <v>2.5</v>
      </c>
      <c r="Z40" s="61"/>
      <c r="AA40" s="61" t="s">
        <v>458</v>
      </c>
      <c r="AB40" s="61"/>
      <c r="AC40" s="61">
        <v>4.5</v>
      </c>
      <c r="AD40" s="61">
        <v>0.5</v>
      </c>
      <c r="AE40" s="61" t="s">
        <v>458</v>
      </c>
      <c r="AF40" s="61"/>
      <c r="AG40" s="61">
        <v>2.5</v>
      </c>
      <c r="AH40" s="61">
        <v>2</v>
      </c>
      <c r="AI40" s="61" t="s">
        <v>458</v>
      </c>
      <c r="AJ40" s="61"/>
      <c r="AK40" s="61">
        <f>22-19.5</f>
        <v>2.5</v>
      </c>
      <c r="AL40" s="61">
        <f>24-22</f>
        <v>2</v>
      </c>
      <c r="AM40" s="61" t="s">
        <v>458</v>
      </c>
      <c r="AN40" s="61"/>
      <c r="AO40" s="61">
        <v>2</v>
      </c>
      <c r="AP40" s="61"/>
      <c r="AQ40" s="61" t="s">
        <v>458</v>
      </c>
      <c r="AR40" s="61"/>
      <c r="AS40" s="61">
        <v>2.5</v>
      </c>
      <c r="AT40" s="61">
        <v>1</v>
      </c>
      <c r="AU40" s="68">
        <v>11</v>
      </c>
      <c r="AV40" s="61" t="s">
        <v>458</v>
      </c>
      <c r="AW40" s="72"/>
      <c r="AX40" s="61">
        <v>1.5</v>
      </c>
      <c r="AY40" s="61"/>
      <c r="AZ40" s="61" t="s">
        <v>458</v>
      </c>
      <c r="BA40" s="61"/>
      <c r="BB40" s="80">
        <v>1.5</v>
      </c>
      <c r="BC40" s="61"/>
      <c r="BD40" s="61" t="s">
        <v>458</v>
      </c>
      <c r="BE40" s="61"/>
      <c r="BF40" s="77">
        <v>2.5</v>
      </c>
      <c r="BG40" s="61">
        <v>1</v>
      </c>
      <c r="BH40" s="61" t="s">
        <v>458</v>
      </c>
      <c r="BI40" s="61"/>
      <c r="BJ40" s="61">
        <v>2.5</v>
      </c>
      <c r="BK40" s="61">
        <v>1.5</v>
      </c>
      <c r="BL40" s="61" t="s">
        <v>458</v>
      </c>
      <c r="BM40" s="61"/>
      <c r="BN40" s="77">
        <f>22-19.5</f>
        <v>2.5</v>
      </c>
      <c r="BO40" s="61">
        <v>1.5</v>
      </c>
      <c r="BP40" s="61" t="s">
        <v>458</v>
      </c>
      <c r="BQ40" s="61"/>
      <c r="BR40" s="61">
        <f>22-19.5</f>
        <v>2.5</v>
      </c>
      <c r="BS40" s="61"/>
      <c r="BT40" s="68"/>
      <c r="BU40" s="61" t="s">
        <v>13</v>
      </c>
      <c r="BV40" s="61"/>
      <c r="BW40" s="61"/>
      <c r="BX40" s="61"/>
      <c r="BY40" s="61" t="s">
        <v>458</v>
      </c>
      <c r="BZ40" s="61"/>
      <c r="CA40" s="61">
        <f>22-19.5</f>
        <v>2.5</v>
      </c>
      <c r="CB40" s="61"/>
      <c r="CC40" s="61" t="s">
        <v>458</v>
      </c>
      <c r="CD40" s="61"/>
      <c r="CE40" s="61">
        <v>2.5</v>
      </c>
      <c r="CF40" s="61">
        <v>0.5</v>
      </c>
      <c r="CG40" s="61" t="s">
        <v>458</v>
      </c>
      <c r="CH40" s="61"/>
      <c r="CI40" s="61">
        <f>21-19.5</f>
        <v>1.5</v>
      </c>
      <c r="CJ40" s="61"/>
      <c r="CK40" s="61" t="s">
        <v>458</v>
      </c>
      <c r="CL40" s="61"/>
      <c r="CM40" s="86">
        <f>21.5-19.5</f>
        <v>2</v>
      </c>
      <c r="CN40" s="61"/>
      <c r="CO40" s="61" t="s">
        <v>458</v>
      </c>
      <c r="CP40" s="61"/>
      <c r="CQ40" s="61">
        <f>20-19.5</f>
        <v>0.5</v>
      </c>
      <c r="CR40" s="61"/>
      <c r="CS40" s="68">
        <v>8</v>
      </c>
      <c r="CT40" s="61" t="s">
        <v>458</v>
      </c>
      <c r="CU40" s="61"/>
      <c r="CV40" s="86">
        <f>21-19.5</f>
        <v>1.5</v>
      </c>
      <c r="CW40" s="61"/>
      <c r="CX40" s="61" t="s">
        <v>458</v>
      </c>
      <c r="CY40" s="61"/>
      <c r="CZ40" s="61">
        <f>21.5-19.5</f>
        <v>2</v>
      </c>
      <c r="DA40" s="61"/>
      <c r="DB40" s="61" t="s">
        <v>458</v>
      </c>
      <c r="DC40" s="61"/>
      <c r="DD40" s="61">
        <v>2.5</v>
      </c>
      <c r="DE40" s="61">
        <v>1.5</v>
      </c>
      <c r="DF40" s="61" t="s">
        <v>458</v>
      </c>
      <c r="DG40" s="61"/>
      <c r="DH40" s="80">
        <v>2.5</v>
      </c>
      <c r="DI40" s="61">
        <v>1.5</v>
      </c>
      <c r="DJ40" s="72" t="s">
        <v>458</v>
      </c>
      <c r="DK40" s="72"/>
      <c r="DL40" s="113">
        <v>2.5</v>
      </c>
      <c r="DM40" s="72">
        <v>1.5</v>
      </c>
      <c r="DN40" s="61" t="s">
        <v>458</v>
      </c>
      <c r="DO40" s="61"/>
      <c r="DP40" s="61">
        <f>22-19.5</f>
        <v>2.5</v>
      </c>
      <c r="DQ40" s="61">
        <v>4</v>
      </c>
      <c r="DR40" s="68"/>
    </row>
    <row r="41" spans="1:122" x14ac:dyDescent="0.25">
      <c r="A41" s="59">
        <v>32</v>
      </c>
      <c r="B41" s="72" t="s">
        <v>92</v>
      </c>
      <c r="C41" s="73" t="s">
        <v>93</v>
      </c>
      <c r="D41" s="60">
        <f t="shared" si="6"/>
        <v>24</v>
      </c>
      <c r="E41" s="60">
        <f t="shared" si="7"/>
        <v>50.5</v>
      </c>
      <c r="F41" s="60">
        <f t="shared" si="0"/>
        <v>20</v>
      </c>
      <c r="G41" s="60">
        <f t="shared" si="1"/>
        <v>2.5</v>
      </c>
      <c r="H41" s="60">
        <f t="shared" si="2"/>
        <v>25.5</v>
      </c>
      <c r="I41" s="60">
        <f t="shared" si="8"/>
        <v>0</v>
      </c>
      <c r="J41" s="60">
        <f t="shared" si="3"/>
        <v>2</v>
      </c>
      <c r="K41" s="60">
        <f t="shared" si="9"/>
        <v>0</v>
      </c>
      <c r="L41" s="60">
        <f t="shared" si="4"/>
        <v>0</v>
      </c>
      <c r="M41" s="60">
        <f t="shared" si="5"/>
        <v>0</v>
      </c>
      <c r="N41" s="61" t="s">
        <v>13</v>
      </c>
      <c r="O41" s="72"/>
      <c r="P41" s="61"/>
      <c r="Q41" s="61"/>
      <c r="R41" s="61" t="s">
        <v>458</v>
      </c>
      <c r="S41" s="61"/>
      <c r="T41" s="61">
        <v>2.5</v>
      </c>
      <c r="U41" s="61">
        <v>4.5</v>
      </c>
      <c r="V41" s="68"/>
      <c r="W41" s="61" t="s">
        <v>458</v>
      </c>
      <c r="X41" s="61"/>
      <c r="Y41" s="61">
        <v>4.5</v>
      </c>
      <c r="Z41" s="61"/>
      <c r="AA41" s="61" t="s">
        <v>458</v>
      </c>
      <c r="AB41" s="61"/>
      <c r="AC41" s="61">
        <v>2.5</v>
      </c>
      <c r="AD41" s="61">
        <v>0.5</v>
      </c>
      <c r="AE41" s="61" t="s">
        <v>458</v>
      </c>
      <c r="AF41" s="61"/>
      <c r="AG41" s="61">
        <v>2.5</v>
      </c>
      <c r="AH41" s="61">
        <v>2</v>
      </c>
      <c r="AI41" s="61" t="s">
        <v>458</v>
      </c>
      <c r="AJ41" s="61"/>
      <c r="AK41" s="61">
        <v>2.5</v>
      </c>
      <c r="AL41" s="61">
        <v>2</v>
      </c>
      <c r="AM41" s="61" t="s">
        <v>458</v>
      </c>
      <c r="AN41" s="61"/>
      <c r="AO41" s="61">
        <v>2</v>
      </c>
      <c r="AP41" s="61"/>
      <c r="AQ41" s="61" t="s">
        <v>458</v>
      </c>
      <c r="AR41" s="61"/>
      <c r="AS41" s="61">
        <v>2</v>
      </c>
      <c r="AT41" s="61"/>
      <c r="AU41" s="68">
        <v>10</v>
      </c>
      <c r="AV41" s="61" t="s">
        <v>13</v>
      </c>
      <c r="AW41" s="72"/>
      <c r="AX41" s="61"/>
      <c r="AY41" s="61"/>
      <c r="AZ41" s="61" t="s">
        <v>458</v>
      </c>
      <c r="BA41" s="61"/>
      <c r="BB41" s="80">
        <v>1.5</v>
      </c>
      <c r="BC41" s="61"/>
      <c r="BD41" s="61" t="s">
        <v>458</v>
      </c>
      <c r="BE41" s="61"/>
      <c r="BF41" s="77">
        <v>2.5</v>
      </c>
      <c r="BG41" s="61">
        <v>1</v>
      </c>
      <c r="BH41" s="61" t="s">
        <v>458</v>
      </c>
      <c r="BI41" s="61"/>
      <c r="BJ41" s="61">
        <v>2.5</v>
      </c>
      <c r="BK41" s="61">
        <v>1.5</v>
      </c>
      <c r="BL41" s="61" t="s">
        <v>458</v>
      </c>
      <c r="BM41" s="61"/>
      <c r="BN41" s="77">
        <v>2.5</v>
      </c>
      <c r="BO41" s="61"/>
      <c r="BP41" s="61" t="s">
        <v>458</v>
      </c>
      <c r="BQ41" s="61"/>
      <c r="BR41" s="61">
        <v>2.5</v>
      </c>
      <c r="BS41" s="61"/>
      <c r="BT41" s="68">
        <f>23-7.5</f>
        <v>15.5</v>
      </c>
      <c r="BU41" s="61" t="s">
        <v>458</v>
      </c>
      <c r="BV41" s="61"/>
      <c r="BW41" s="61">
        <f>22-19.5</f>
        <v>2.5</v>
      </c>
      <c r="BX41" s="61">
        <v>1</v>
      </c>
      <c r="BY41" s="61" t="s">
        <v>458</v>
      </c>
      <c r="BZ41" s="61"/>
      <c r="CA41" s="61">
        <f>22-19.5</f>
        <v>2.5</v>
      </c>
      <c r="CB41" s="61"/>
      <c r="CC41" s="61" t="s">
        <v>458</v>
      </c>
      <c r="CD41" s="61"/>
      <c r="CE41" s="61">
        <v>2.5</v>
      </c>
      <c r="CF41" s="61">
        <v>0.5</v>
      </c>
      <c r="CG41" s="61" t="s">
        <v>458</v>
      </c>
      <c r="CH41" s="61"/>
      <c r="CI41" s="61">
        <v>1.5</v>
      </c>
      <c r="CJ41" s="61"/>
      <c r="CK41" s="61" t="s">
        <v>458</v>
      </c>
      <c r="CL41" s="61">
        <v>2.5</v>
      </c>
      <c r="CM41" s="86"/>
      <c r="CN41" s="61"/>
      <c r="CO41" s="61" t="s">
        <v>458</v>
      </c>
      <c r="CP41" s="61"/>
      <c r="CQ41" s="61">
        <v>0.5</v>
      </c>
      <c r="CR41" s="61"/>
      <c r="CS41" s="68"/>
      <c r="CT41" s="61" t="s">
        <v>458</v>
      </c>
      <c r="CU41" s="61"/>
      <c r="CV41" s="86">
        <v>1.5</v>
      </c>
      <c r="CW41" s="61"/>
      <c r="CX41" s="61" t="s">
        <v>458</v>
      </c>
      <c r="CY41" s="61"/>
      <c r="CZ41" s="61">
        <v>2</v>
      </c>
      <c r="DA41" s="61"/>
      <c r="DB41" s="61" t="s">
        <v>458</v>
      </c>
      <c r="DC41" s="61"/>
      <c r="DD41" s="61"/>
      <c r="DE41" s="61"/>
      <c r="DF41" s="61" t="s">
        <v>458</v>
      </c>
      <c r="DG41" s="61"/>
      <c r="DH41" s="80">
        <v>2.5</v>
      </c>
      <c r="DI41" s="61">
        <v>1.5</v>
      </c>
      <c r="DJ41" s="72" t="s">
        <v>458</v>
      </c>
      <c r="DK41" s="72"/>
      <c r="DL41" s="113">
        <v>2.5</v>
      </c>
      <c r="DM41" s="72">
        <v>1.5</v>
      </c>
      <c r="DN41" s="61" t="s">
        <v>458</v>
      </c>
      <c r="DO41" s="61"/>
      <c r="DP41" s="61">
        <v>2.5</v>
      </c>
      <c r="DQ41" s="61">
        <v>4</v>
      </c>
      <c r="DR41" s="68"/>
    </row>
    <row r="42" spans="1:122" x14ac:dyDescent="0.25">
      <c r="A42" s="59">
        <v>33</v>
      </c>
      <c r="B42" s="72" t="s">
        <v>94</v>
      </c>
      <c r="C42" s="73" t="s">
        <v>475</v>
      </c>
      <c r="D42" s="60">
        <f t="shared" si="6"/>
        <v>25</v>
      </c>
      <c r="E42" s="60">
        <f t="shared" si="7"/>
        <v>46.2</v>
      </c>
      <c r="F42" s="60">
        <f t="shared" si="0"/>
        <v>6</v>
      </c>
      <c r="G42" s="60">
        <f t="shared" si="1"/>
        <v>2</v>
      </c>
      <c r="H42" s="60">
        <f t="shared" si="2"/>
        <v>23.5</v>
      </c>
      <c r="I42" s="60">
        <f t="shared" si="8"/>
        <v>0</v>
      </c>
      <c r="J42" s="60">
        <f t="shared" si="3"/>
        <v>1</v>
      </c>
      <c r="K42" s="60">
        <f t="shared" si="9"/>
        <v>0</v>
      </c>
      <c r="L42" s="60">
        <f t="shared" si="4"/>
        <v>0</v>
      </c>
      <c r="M42" s="60">
        <f t="shared" si="5"/>
        <v>0</v>
      </c>
      <c r="N42" s="61" t="s">
        <v>458</v>
      </c>
      <c r="O42" s="72"/>
      <c r="P42" s="61">
        <v>1</v>
      </c>
      <c r="Q42" s="61"/>
      <c r="R42" s="61" t="s">
        <v>458</v>
      </c>
      <c r="S42" s="61"/>
      <c r="T42" s="61">
        <v>2.5</v>
      </c>
      <c r="U42" s="61">
        <v>1.5</v>
      </c>
      <c r="V42" s="68"/>
      <c r="W42" s="61" t="s">
        <v>458</v>
      </c>
      <c r="X42" s="61"/>
      <c r="Y42" s="61">
        <v>4.5</v>
      </c>
      <c r="Z42" s="61"/>
      <c r="AA42" s="61" t="s">
        <v>458</v>
      </c>
      <c r="AB42" s="61">
        <v>2</v>
      </c>
      <c r="AC42" s="61"/>
      <c r="AD42" s="61"/>
      <c r="AE42" s="61" t="s">
        <v>458</v>
      </c>
      <c r="AF42" s="61"/>
      <c r="AG42" s="61">
        <v>2.5</v>
      </c>
      <c r="AH42" s="61"/>
      <c r="AI42" s="61" t="s">
        <v>458</v>
      </c>
      <c r="AJ42" s="61"/>
      <c r="AK42" s="61"/>
      <c r="AL42" s="61"/>
      <c r="AM42" s="61" t="s">
        <v>458</v>
      </c>
      <c r="AN42" s="61"/>
      <c r="AO42" s="61">
        <v>2.5</v>
      </c>
      <c r="AP42" s="61"/>
      <c r="AQ42" s="61" t="s">
        <v>458</v>
      </c>
      <c r="AR42" s="61"/>
      <c r="AS42" s="61">
        <v>1.5</v>
      </c>
      <c r="AT42" s="61"/>
      <c r="AU42" s="68"/>
      <c r="AV42" s="61" t="s">
        <v>458</v>
      </c>
      <c r="AW42" s="72"/>
      <c r="AX42" s="61">
        <v>2.5</v>
      </c>
      <c r="AY42" s="61"/>
      <c r="AZ42" s="61" t="s">
        <v>458</v>
      </c>
      <c r="BA42" s="61"/>
      <c r="BB42" s="80">
        <v>2</v>
      </c>
      <c r="BC42" s="61"/>
      <c r="BD42" s="61" t="s">
        <v>13</v>
      </c>
      <c r="BE42" s="61"/>
      <c r="BF42" s="77"/>
      <c r="BG42" s="61"/>
      <c r="BH42" s="61" t="s">
        <v>458</v>
      </c>
      <c r="BI42" s="61"/>
      <c r="BJ42" s="61">
        <v>2.5</v>
      </c>
      <c r="BK42" s="61">
        <v>1.5</v>
      </c>
      <c r="BL42" s="61" t="s">
        <v>458</v>
      </c>
      <c r="BM42" s="61"/>
      <c r="BN42" s="77">
        <f>21.5-19.5</f>
        <v>2</v>
      </c>
      <c r="BO42" s="61"/>
      <c r="BP42" s="61" t="s">
        <v>458</v>
      </c>
      <c r="BQ42" s="61"/>
      <c r="BR42" s="61">
        <v>2.5</v>
      </c>
      <c r="BS42" s="61">
        <v>0.5</v>
      </c>
      <c r="BT42" s="68">
        <f t="shared" ref="BT42:BT44" si="11">23-7.5</f>
        <v>15.5</v>
      </c>
      <c r="BU42" s="61" t="s">
        <v>458</v>
      </c>
      <c r="BV42" s="61"/>
      <c r="BW42" s="61">
        <v>2.5</v>
      </c>
      <c r="BX42" s="61">
        <v>1</v>
      </c>
      <c r="BY42" s="61" t="s">
        <v>458</v>
      </c>
      <c r="BZ42" s="61"/>
      <c r="CA42" s="61">
        <f>21-19.5</f>
        <v>1.5</v>
      </c>
      <c r="CB42" s="61"/>
      <c r="CC42" s="61" t="s">
        <v>458</v>
      </c>
      <c r="CD42" s="61"/>
      <c r="CE42" s="61"/>
      <c r="CF42" s="61"/>
      <c r="CG42" s="61" t="s">
        <v>458</v>
      </c>
      <c r="CH42" s="61"/>
      <c r="CI42" s="61">
        <v>1.5</v>
      </c>
      <c r="CJ42" s="61"/>
      <c r="CK42" s="61" t="s">
        <v>458</v>
      </c>
      <c r="CL42" s="61"/>
      <c r="CM42" s="86">
        <v>2.5</v>
      </c>
      <c r="CN42" s="61"/>
      <c r="CO42" s="61" t="s">
        <v>458</v>
      </c>
      <c r="CP42" s="61"/>
      <c r="CQ42" s="61">
        <v>0.5</v>
      </c>
      <c r="CR42" s="61"/>
      <c r="CS42" s="68">
        <v>8</v>
      </c>
      <c r="CT42" s="61" t="s">
        <v>458</v>
      </c>
      <c r="CU42" s="61"/>
      <c r="CV42" s="86">
        <v>1.5</v>
      </c>
      <c r="CW42" s="61"/>
      <c r="CX42" s="61" t="s">
        <v>458</v>
      </c>
      <c r="CY42" s="61"/>
      <c r="CZ42" s="61">
        <v>2</v>
      </c>
      <c r="DA42" s="61"/>
      <c r="DB42" s="61" t="s">
        <v>458</v>
      </c>
      <c r="DC42" s="61"/>
      <c r="DD42" s="61">
        <v>2.5</v>
      </c>
      <c r="DE42" s="61">
        <v>1.5</v>
      </c>
      <c r="DF42" s="61" t="s">
        <v>458</v>
      </c>
      <c r="DG42" s="61"/>
      <c r="DH42" s="80">
        <f>21.7-19.5</f>
        <v>2.1999999999999993</v>
      </c>
      <c r="DI42" s="61"/>
      <c r="DJ42" s="72" t="s">
        <v>458</v>
      </c>
      <c r="DK42" s="72"/>
      <c r="DL42" s="113">
        <f>21.5-19.5</f>
        <v>2</v>
      </c>
      <c r="DM42" s="72"/>
      <c r="DN42" s="61" t="s">
        <v>458</v>
      </c>
      <c r="DO42" s="61"/>
      <c r="DP42" s="61">
        <f>21-19.5</f>
        <v>1.5</v>
      </c>
      <c r="DQ42" s="61"/>
      <c r="DR42" s="68"/>
    </row>
    <row r="43" spans="1:122" x14ac:dyDescent="0.25">
      <c r="A43" s="59">
        <v>34</v>
      </c>
      <c r="B43" s="72" t="s">
        <v>96</v>
      </c>
      <c r="C43" s="73" t="s">
        <v>97</v>
      </c>
      <c r="D43" s="60">
        <f t="shared" si="6"/>
        <v>25</v>
      </c>
      <c r="E43" s="60">
        <f t="shared" si="7"/>
        <v>51.5</v>
      </c>
      <c r="F43" s="60">
        <f t="shared" si="0"/>
        <v>19.5</v>
      </c>
      <c r="G43" s="60">
        <f t="shared" si="1"/>
        <v>0.5</v>
      </c>
      <c r="H43" s="60">
        <f t="shared" si="2"/>
        <v>25.5</v>
      </c>
      <c r="I43" s="60">
        <f t="shared" si="8"/>
        <v>0</v>
      </c>
      <c r="J43" s="60">
        <f t="shared" si="3"/>
        <v>1</v>
      </c>
      <c r="K43" s="60">
        <f t="shared" si="9"/>
        <v>0</v>
      </c>
      <c r="L43" s="60">
        <f t="shared" si="4"/>
        <v>0</v>
      </c>
      <c r="M43" s="60">
        <f t="shared" si="5"/>
        <v>0</v>
      </c>
      <c r="N43" s="61" t="s">
        <v>458</v>
      </c>
      <c r="O43" s="72"/>
      <c r="P43" s="61">
        <v>1</v>
      </c>
      <c r="Q43" s="61"/>
      <c r="R43" s="61" t="s">
        <v>458</v>
      </c>
      <c r="S43" s="61"/>
      <c r="T43" s="61">
        <v>2.5</v>
      </c>
      <c r="U43" s="61">
        <v>4.5</v>
      </c>
      <c r="V43" s="68"/>
      <c r="W43" s="61" t="s">
        <v>458</v>
      </c>
      <c r="X43" s="61"/>
      <c r="Y43" s="61">
        <v>2.5</v>
      </c>
      <c r="Z43" s="61"/>
      <c r="AA43" s="61" t="s">
        <v>458</v>
      </c>
      <c r="AB43" s="61"/>
      <c r="AC43" s="61">
        <v>2.5</v>
      </c>
      <c r="AD43" s="61">
        <v>0.5</v>
      </c>
      <c r="AE43" s="61" t="s">
        <v>458</v>
      </c>
      <c r="AF43" s="61"/>
      <c r="AG43" s="61">
        <v>4.5</v>
      </c>
      <c r="AH43" s="61"/>
      <c r="AI43" s="61" t="s">
        <v>458</v>
      </c>
      <c r="AJ43" s="61"/>
      <c r="AK43" s="61">
        <v>2.5</v>
      </c>
      <c r="AL43" s="61">
        <v>2</v>
      </c>
      <c r="AM43" s="61" t="s">
        <v>458</v>
      </c>
      <c r="AN43" s="61"/>
      <c r="AO43" s="61"/>
      <c r="AP43" s="61"/>
      <c r="AQ43" s="61" t="s">
        <v>458</v>
      </c>
      <c r="AR43" s="61"/>
      <c r="AS43" s="61">
        <v>2</v>
      </c>
      <c r="AT43" s="61"/>
      <c r="AU43" s="68">
        <v>10</v>
      </c>
      <c r="AV43" s="61" t="s">
        <v>458</v>
      </c>
      <c r="AW43" s="72"/>
      <c r="AX43" s="61">
        <v>1.5</v>
      </c>
      <c r="AY43" s="61"/>
      <c r="AZ43" s="61" t="s">
        <v>13</v>
      </c>
      <c r="BA43" s="61"/>
      <c r="BB43" s="80"/>
      <c r="BC43" s="61"/>
      <c r="BD43" s="61" t="s">
        <v>458</v>
      </c>
      <c r="BE43" s="61"/>
      <c r="BF43" s="77">
        <v>2.5</v>
      </c>
      <c r="BG43" s="61">
        <v>1</v>
      </c>
      <c r="BH43" s="61" t="s">
        <v>458</v>
      </c>
      <c r="BI43" s="61"/>
      <c r="BJ43" s="61">
        <v>2.5</v>
      </c>
      <c r="BK43" s="61">
        <v>1.5</v>
      </c>
      <c r="BL43" s="61" t="s">
        <v>458</v>
      </c>
      <c r="BM43" s="61">
        <v>0.5</v>
      </c>
      <c r="BN43" s="77">
        <v>2.5</v>
      </c>
      <c r="BO43" s="61">
        <v>1.5</v>
      </c>
      <c r="BP43" s="61" t="s">
        <v>458</v>
      </c>
      <c r="BQ43" s="61"/>
      <c r="BR43" s="61">
        <v>2.5</v>
      </c>
      <c r="BS43" s="61"/>
      <c r="BT43" s="68">
        <f t="shared" si="11"/>
        <v>15.5</v>
      </c>
      <c r="BU43" s="61" t="s">
        <v>458</v>
      </c>
      <c r="BV43" s="61"/>
      <c r="BW43" s="61">
        <v>2.5</v>
      </c>
      <c r="BX43" s="61">
        <v>1</v>
      </c>
      <c r="BY43" s="61" t="s">
        <v>458</v>
      </c>
      <c r="BZ43" s="61"/>
      <c r="CA43" s="61">
        <v>2.5</v>
      </c>
      <c r="CB43" s="61"/>
      <c r="CC43" s="61" t="s">
        <v>458</v>
      </c>
      <c r="CD43" s="61"/>
      <c r="CE43" s="61">
        <v>2.5</v>
      </c>
      <c r="CF43" s="61">
        <v>0.5</v>
      </c>
      <c r="CG43" s="61" t="s">
        <v>458</v>
      </c>
      <c r="CH43" s="61"/>
      <c r="CI43" s="61">
        <v>1.5</v>
      </c>
      <c r="CJ43" s="61"/>
      <c r="CK43" s="61" t="s">
        <v>458</v>
      </c>
      <c r="CL43" s="61"/>
      <c r="CM43" s="86">
        <v>2</v>
      </c>
      <c r="CN43" s="61"/>
      <c r="CO43" s="61" t="s">
        <v>458</v>
      </c>
      <c r="CP43" s="61"/>
      <c r="CQ43" s="61">
        <v>0.5</v>
      </c>
      <c r="CR43" s="61"/>
      <c r="CS43" s="68"/>
      <c r="CT43" s="61" t="s">
        <v>458</v>
      </c>
      <c r="CU43" s="61"/>
      <c r="CV43" s="86">
        <v>1.5</v>
      </c>
      <c r="CW43" s="61"/>
      <c r="CX43" s="61" t="s">
        <v>458</v>
      </c>
      <c r="CY43" s="61"/>
      <c r="CZ43" s="61">
        <v>2</v>
      </c>
      <c r="DA43" s="61"/>
      <c r="DB43" s="61" t="s">
        <v>458</v>
      </c>
      <c r="DC43" s="61"/>
      <c r="DD43" s="61">
        <v>2.5</v>
      </c>
      <c r="DE43" s="61">
        <v>1.5</v>
      </c>
      <c r="DF43" s="61" t="s">
        <v>458</v>
      </c>
      <c r="DG43" s="61"/>
      <c r="DH43" s="80"/>
      <c r="DI43" s="61"/>
      <c r="DJ43" s="72" t="s">
        <v>458</v>
      </c>
      <c r="DK43" s="72"/>
      <c r="DL43" s="113">
        <v>2.5</v>
      </c>
      <c r="DM43" s="72">
        <v>1.5</v>
      </c>
      <c r="DN43" s="61" t="s">
        <v>458</v>
      </c>
      <c r="DO43" s="61"/>
      <c r="DP43" s="61">
        <v>2.5</v>
      </c>
      <c r="DQ43" s="61">
        <v>4</v>
      </c>
      <c r="DR43" s="68"/>
    </row>
    <row r="44" spans="1:122" x14ac:dyDescent="0.25">
      <c r="A44" s="59">
        <v>35</v>
      </c>
      <c r="B44" s="72" t="s">
        <v>98</v>
      </c>
      <c r="C44" s="73" t="s">
        <v>99</v>
      </c>
      <c r="D44" s="60">
        <f t="shared" si="6"/>
        <v>26</v>
      </c>
      <c r="E44" s="60">
        <f t="shared" si="7"/>
        <v>70</v>
      </c>
      <c r="F44" s="60">
        <f t="shared" si="0"/>
        <v>23.5</v>
      </c>
      <c r="G44" s="60">
        <f t="shared" si="1"/>
        <v>0</v>
      </c>
      <c r="H44" s="60">
        <f t="shared" si="2"/>
        <v>34.5</v>
      </c>
      <c r="I44" s="60">
        <f t="shared" si="8"/>
        <v>0</v>
      </c>
      <c r="J44" s="60">
        <f t="shared" si="3"/>
        <v>0</v>
      </c>
      <c r="K44" s="60">
        <f t="shared" si="9"/>
        <v>0</v>
      </c>
      <c r="L44" s="60">
        <f t="shared" si="4"/>
        <v>0</v>
      </c>
      <c r="M44" s="60">
        <f t="shared" si="5"/>
        <v>0</v>
      </c>
      <c r="N44" s="61" t="s">
        <v>458</v>
      </c>
      <c r="O44" s="72"/>
      <c r="P44" s="61">
        <v>3</v>
      </c>
      <c r="Q44" s="61"/>
      <c r="R44" s="61" t="s">
        <v>458</v>
      </c>
      <c r="S44" s="61"/>
      <c r="T44" s="61">
        <v>2.5</v>
      </c>
      <c r="U44" s="61">
        <v>4.5</v>
      </c>
      <c r="V44" s="68"/>
      <c r="W44" s="61" t="s">
        <v>458</v>
      </c>
      <c r="X44" s="61"/>
      <c r="Y44" s="61">
        <v>2.5</v>
      </c>
      <c r="Z44" s="61"/>
      <c r="AA44" s="61" t="s">
        <v>458</v>
      </c>
      <c r="AB44" s="61"/>
      <c r="AC44" s="61">
        <v>2.5</v>
      </c>
      <c r="AD44" s="61">
        <v>0.5</v>
      </c>
      <c r="AE44" s="61" t="s">
        <v>458</v>
      </c>
      <c r="AF44" s="61"/>
      <c r="AG44" s="61">
        <v>2.5</v>
      </c>
      <c r="AH44" s="61">
        <v>2</v>
      </c>
      <c r="AI44" s="61" t="s">
        <v>458</v>
      </c>
      <c r="AJ44" s="61"/>
      <c r="AK44" s="61">
        <v>2.5</v>
      </c>
      <c r="AL44" s="61">
        <v>2</v>
      </c>
      <c r="AM44" s="61" t="s">
        <v>458</v>
      </c>
      <c r="AN44" s="61"/>
      <c r="AO44" s="61">
        <v>2.5</v>
      </c>
      <c r="AP44" s="61"/>
      <c r="AQ44" s="61" t="s">
        <v>458</v>
      </c>
      <c r="AR44" s="61"/>
      <c r="AS44" s="61">
        <v>2.5</v>
      </c>
      <c r="AT44" s="61">
        <v>1</v>
      </c>
      <c r="AU44" s="68">
        <v>11</v>
      </c>
      <c r="AV44" s="61" t="s">
        <v>458</v>
      </c>
      <c r="AW44" s="72"/>
      <c r="AX44" s="61">
        <v>2</v>
      </c>
      <c r="AY44" s="61"/>
      <c r="AZ44" s="61" t="s">
        <v>458</v>
      </c>
      <c r="BA44" s="61"/>
      <c r="BB44" s="80">
        <v>15</v>
      </c>
      <c r="BC44" s="61"/>
      <c r="BD44" s="61" t="s">
        <v>458</v>
      </c>
      <c r="BE44" s="61"/>
      <c r="BF44" s="77">
        <v>2.5</v>
      </c>
      <c r="BG44" s="61">
        <v>1</v>
      </c>
      <c r="BH44" s="61" t="s">
        <v>458</v>
      </c>
      <c r="BI44" s="61"/>
      <c r="BJ44" s="61">
        <v>2.5</v>
      </c>
      <c r="BK44" s="61">
        <v>1.5</v>
      </c>
      <c r="BL44" s="61" t="s">
        <v>458</v>
      </c>
      <c r="BM44" s="61"/>
      <c r="BN44" s="77">
        <v>2.5</v>
      </c>
      <c r="BO44" s="61">
        <v>1.5</v>
      </c>
      <c r="BP44" s="61" t="s">
        <v>458</v>
      </c>
      <c r="BQ44" s="61"/>
      <c r="BR44" s="61">
        <v>2.5</v>
      </c>
      <c r="BS44" s="61"/>
      <c r="BT44" s="68">
        <f t="shared" si="11"/>
        <v>15.5</v>
      </c>
      <c r="BU44" s="61" t="s">
        <v>458</v>
      </c>
      <c r="BV44" s="61"/>
      <c r="BW44" s="61">
        <v>2.5</v>
      </c>
      <c r="BX44" s="61">
        <v>1</v>
      </c>
      <c r="BY44" s="61" t="s">
        <v>458</v>
      </c>
      <c r="BZ44" s="61"/>
      <c r="CA44" s="61">
        <v>2.5</v>
      </c>
      <c r="CB44" s="61"/>
      <c r="CC44" s="61" t="s">
        <v>458</v>
      </c>
      <c r="CD44" s="61"/>
      <c r="CE44" s="61"/>
      <c r="CF44" s="61"/>
      <c r="CG44" s="61" t="s">
        <v>458</v>
      </c>
      <c r="CH44" s="61"/>
      <c r="CI44" s="61">
        <v>1.5</v>
      </c>
      <c r="CJ44" s="61"/>
      <c r="CK44" s="61" t="s">
        <v>458</v>
      </c>
      <c r="CL44" s="61"/>
      <c r="CM44" s="86">
        <v>2</v>
      </c>
      <c r="CN44" s="61"/>
      <c r="CO44" s="61" t="s">
        <v>458</v>
      </c>
      <c r="CP44" s="61"/>
      <c r="CQ44" s="61">
        <v>0.5</v>
      </c>
      <c r="CR44" s="61"/>
      <c r="CS44" s="68">
        <v>8</v>
      </c>
      <c r="CT44" s="61" t="s">
        <v>458</v>
      </c>
      <c r="CU44" s="61"/>
      <c r="CV44" s="86">
        <v>1.5</v>
      </c>
      <c r="CW44" s="61"/>
      <c r="CX44" s="61" t="s">
        <v>458</v>
      </c>
      <c r="CY44" s="61"/>
      <c r="CZ44" s="61">
        <v>2</v>
      </c>
      <c r="DA44" s="61"/>
      <c r="DB44" s="61" t="s">
        <v>458</v>
      </c>
      <c r="DC44" s="61"/>
      <c r="DD44" s="61">
        <v>2.5</v>
      </c>
      <c r="DE44" s="61">
        <v>1.5</v>
      </c>
      <c r="DF44" s="61" t="s">
        <v>458</v>
      </c>
      <c r="DG44" s="61"/>
      <c r="DH44" s="80">
        <v>2.5</v>
      </c>
      <c r="DI44" s="61">
        <v>1.5</v>
      </c>
      <c r="DJ44" s="72" t="s">
        <v>458</v>
      </c>
      <c r="DK44" s="72"/>
      <c r="DL44" s="113">
        <v>2.5</v>
      </c>
      <c r="DM44" s="72">
        <v>1.5</v>
      </c>
      <c r="DN44" s="61" t="s">
        <v>458</v>
      </c>
      <c r="DO44" s="61"/>
      <c r="DP44" s="61">
        <v>2.5</v>
      </c>
      <c r="DQ44" s="61">
        <v>4</v>
      </c>
      <c r="DR44" s="68"/>
    </row>
    <row r="45" spans="1:122" x14ac:dyDescent="0.25">
      <c r="A45" s="371" t="s">
        <v>519</v>
      </c>
      <c r="B45" s="372"/>
      <c r="C45" s="373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1"/>
      <c r="O45" s="72"/>
      <c r="P45" s="61"/>
      <c r="Q45" s="61"/>
      <c r="R45" s="61"/>
      <c r="S45" s="61"/>
      <c r="T45" s="61"/>
      <c r="U45" s="61"/>
      <c r="V45" s="68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8"/>
      <c r="AV45" s="61"/>
      <c r="AW45" s="72"/>
      <c r="AX45" s="61"/>
      <c r="AY45" s="61"/>
      <c r="AZ45" s="61"/>
      <c r="BA45" s="61"/>
      <c r="BB45" s="80"/>
      <c r="BC45" s="61"/>
      <c r="BD45" s="61"/>
      <c r="BE45" s="61"/>
      <c r="BF45" s="77"/>
      <c r="BG45" s="61"/>
      <c r="BH45" s="61"/>
      <c r="BI45" s="61"/>
      <c r="BJ45" s="61"/>
      <c r="BK45" s="61"/>
      <c r="BL45" s="61"/>
      <c r="BM45" s="61"/>
      <c r="BN45" s="77"/>
      <c r="BO45" s="61"/>
      <c r="BP45" s="61"/>
      <c r="BQ45" s="61"/>
      <c r="BR45" s="61"/>
      <c r="BS45" s="61"/>
      <c r="BT45" s="68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86"/>
      <c r="CN45" s="61"/>
      <c r="CO45" s="61"/>
      <c r="CP45" s="61"/>
      <c r="CQ45" s="61"/>
      <c r="CR45" s="61"/>
      <c r="CS45" s="68"/>
      <c r="CT45" s="61"/>
      <c r="CU45" s="61"/>
      <c r="CV45" s="86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80"/>
      <c r="DI45" s="61"/>
      <c r="DJ45" s="72"/>
      <c r="DK45" s="72"/>
      <c r="DL45" s="113"/>
      <c r="DM45" s="72"/>
      <c r="DN45" s="61"/>
      <c r="DO45" s="61"/>
      <c r="DP45" s="61"/>
      <c r="DQ45" s="61"/>
      <c r="DR45" s="68"/>
    </row>
    <row r="46" spans="1:122" x14ac:dyDescent="0.2">
      <c r="A46" s="59">
        <v>36</v>
      </c>
      <c r="B46" s="72" t="s">
        <v>346</v>
      </c>
      <c r="C46" s="115" t="s">
        <v>347</v>
      </c>
      <c r="D46" s="60">
        <f t="shared" si="6"/>
        <v>26</v>
      </c>
      <c r="E46" s="60">
        <f t="shared" si="7"/>
        <v>104.5</v>
      </c>
      <c r="F46" s="60">
        <f t="shared" si="0"/>
        <v>8</v>
      </c>
      <c r="G46" s="60">
        <f t="shared" si="1"/>
        <v>1.5</v>
      </c>
      <c r="H46" s="60">
        <f t="shared" si="2"/>
        <v>44</v>
      </c>
      <c r="I46" s="60">
        <f t="shared" si="8"/>
        <v>0</v>
      </c>
      <c r="J46" s="60">
        <f t="shared" si="3"/>
        <v>0</v>
      </c>
      <c r="K46" s="60">
        <f t="shared" si="9"/>
        <v>0</v>
      </c>
      <c r="L46" s="60">
        <f t="shared" si="4"/>
        <v>0</v>
      </c>
      <c r="M46" s="60">
        <f t="shared" si="5"/>
        <v>0</v>
      </c>
      <c r="N46" s="61" t="s">
        <v>458</v>
      </c>
      <c r="O46" s="72"/>
      <c r="P46" s="61">
        <v>4.5</v>
      </c>
      <c r="Q46" s="61">
        <v>0.5</v>
      </c>
      <c r="R46" s="61" t="s">
        <v>458</v>
      </c>
      <c r="S46" s="61"/>
      <c r="T46" s="61">
        <v>4.5</v>
      </c>
      <c r="U46" s="61">
        <v>3</v>
      </c>
      <c r="V46" s="68">
        <v>10.5</v>
      </c>
      <c r="W46" s="61" t="s">
        <v>458</v>
      </c>
      <c r="X46" s="61"/>
      <c r="Y46" s="61">
        <v>4.5</v>
      </c>
      <c r="Z46" s="61">
        <v>0.5</v>
      </c>
      <c r="AA46" s="61" t="s">
        <v>458</v>
      </c>
      <c r="AB46" s="61"/>
      <c r="AC46" s="61">
        <v>4.5</v>
      </c>
      <c r="AD46" s="61"/>
      <c r="AE46" s="61" t="s">
        <v>458</v>
      </c>
      <c r="AF46" s="61"/>
      <c r="AG46" s="61">
        <v>4.5</v>
      </c>
      <c r="AH46" s="61"/>
      <c r="AI46" s="61" t="s">
        <v>458</v>
      </c>
      <c r="AJ46" s="61"/>
      <c r="AK46" s="61">
        <v>4</v>
      </c>
      <c r="AL46" s="61"/>
      <c r="AM46" s="61" t="s">
        <v>458</v>
      </c>
      <c r="AN46" s="61"/>
      <c r="AO46" s="61">
        <v>1.5</v>
      </c>
      <c r="AP46" s="61"/>
      <c r="AQ46" s="61" t="s">
        <v>458</v>
      </c>
      <c r="AR46" s="61"/>
      <c r="AS46" s="61">
        <v>4</v>
      </c>
      <c r="AT46" s="61"/>
      <c r="AU46" s="68">
        <f>18.5-7.5-1.5</f>
        <v>9.5</v>
      </c>
      <c r="AV46" s="61" t="s">
        <v>458</v>
      </c>
      <c r="AW46" s="61"/>
      <c r="AX46" s="61">
        <v>3.5</v>
      </c>
      <c r="AY46" s="61"/>
      <c r="AZ46" s="61" t="s">
        <v>458</v>
      </c>
      <c r="BA46" s="61"/>
      <c r="BB46" s="80">
        <v>4.5</v>
      </c>
      <c r="BC46" s="61">
        <v>2</v>
      </c>
      <c r="BD46" s="61" t="s">
        <v>458</v>
      </c>
      <c r="BE46" s="61"/>
      <c r="BF46" s="77">
        <v>4.5</v>
      </c>
      <c r="BG46" s="61">
        <v>0.5</v>
      </c>
      <c r="BH46" s="61" t="s">
        <v>458</v>
      </c>
      <c r="BI46" s="61"/>
      <c r="BJ46" s="61">
        <v>4.5</v>
      </c>
      <c r="BK46" s="61">
        <v>0.5</v>
      </c>
      <c r="BL46" s="61" t="s">
        <v>458</v>
      </c>
      <c r="BM46" s="61"/>
      <c r="BN46" s="77">
        <v>4.5</v>
      </c>
      <c r="BO46" s="61">
        <v>0.5</v>
      </c>
      <c r="BP46" s="61" t="s">
        <v>458</v>
      </c>
      <c r="BQ46" s="61"/>
      <c r="BR46" s="61">
        <v>4.5</v>
      </c>
      <c r="BS46" s="61">
        <v>0.5</v>
      </c>
      <c r="BT46" s="68">
        <v>8</v>
      </c>
      <c r="BU46" s="61" t="s">
        <v>458</v>
      </c>
      <c r="BV46" s="61"/>
      <c r="BW46" s="61">
        <v>4.5</v>
      </c>
      <c r="BX46" s="61"/>
      <c r="BY46" s="61" t="s">
        <v>458</v>
      </c>
      <c r="BZ46" s="61"/>
      <c r="CA46" s="61">
        <v>3.5</v>
      </c>
      <c r="CB46" s="61"/>
      <c r="CC46" s="61" t="s">
        <v>458</v>
      </c>
      <c r="CD46" s="61"/>
      <c r="CE46" s="61">
        <v>4.5</v>
      </c>
      <c r="CF46" s="61"/>
      <c r="CG46" s="61" t="s">
        <v>458</v>
      </c>
      <c r="CH46" s="61"/>
      <c r="CI46" s="61">
        <v>4</v>
      </c>
      <c r="CJ46" s="61"/>
      <c r="CK46" s="61" t="s">
        <v>458</v>
      </c>
      <c r="CL46" s="61"/>
      <c r="CM46" s="86">
        <v>4.5</v>
      </c>
      <c r="CN46" s="61"/>
      <c r="CO46" s="61" t="s">
        <v>458</v>
      </c>
      <c r="CP46" s="61"/>
      <c r="CQ46" s="61">
        <v>1.5</v>
      </c>
      <c r="CR46" s="61"/>
      <c r="CS46" s="68">
        <v>8</v>
      </c>
      <c r="CT46" s="61" t="s">
        <v>458</v>
      </c>
      <c r="CU46" s="61">
        <v>1.5</v>
      </c>
      <c r="CV46" s="61">
        <v>4</v>
      </c>
      <c r="CW46" s="61"/>
      <c r="CX46" s="61" t="s">
        <v>458</v>
      </c>
      <c r="CY46" s="61"/>
      <c r="CZ46" s="61">
        <f>21-17-0.5</f>
        <v>3.5</v>
      </c>
      <c r="DA46" s="61"/>
      <c r="DB46" s="61" t="s">
        <v>458</v>
      </c>
      <c r="DC46" s="61"/>
      <c r="DD46" s="86">
        <f>21.5-17-0.5</f>
        <v>4</v>
      </c>
      <c r="DE46" s="61"/>
      <c r="DF46" s="61" t="s">
        <v>458</v>
      </c>
      <c r="DG46" s="61"/>
      <c r="DH46" s="61">
        <v>4</v>
      </c>
      <c r="DI46" s="61"/>
      <c r="DJ46" s="61" t="s">
        <v>458</v>
      </c>
      <c r="DK46" s="61"/>
      <c r="DL46" s="80">
        <v>4</v>
      </c>
      <c r="DM46" s="61"/>
      <c r="DN46" s="61" t="s">
        <v>458</v>
      </c>
      <c r="DO46" s="61"/>
      <c r="DP46" s="61">
        <v>4.5</v>
      </c>
      <c r="DQ46" s="61"/>
      <c r="DR46" s="68">
        <v>8</v>
      </c>
    </row>
    <row r="47" spans="1:122" x14ac:dyDescent="0.25">
      <c r="A47" s="59">
        <v>37</v>
      </c>
      <c r="B47" s="72" t="s">
        <v>106</v>
      </c>
      <c r="C47" s="73" t="s">
        <v>107</v>
      </c>
      <c r="D47" s="60">
        <f t="shared" si="6"/>
        <v>24.5</v>
      </c>
      <c r="E47" s="60">
        <f t="shared" si="7"/>
        <v>94.5</v>
      </c>
      <c r="F47" s="60">
        <f t="shared" si="0"/>
        <v>12</v>
      </c>
      <c r="G47" s="60">
        <f t="shared" si="1"/>
        <v>0</v>
      </c>
      <c r="H47" s="60">
        <f t="shared" si="2"/>
        <v>29.5</v>
      </c>
      <c r="I47" s="60">
        <f t="shared" si="8"/>
        <v>0</v>
      </c>
      <c r="J47" s="60">
        <f t="shared" si="3"/>
        <v>1</v>
      </c>
      <c r="K47" s="60">
        <f t="shared" si="9"/>
        <v>0</v>
      </c>
      <c r="L47" s="60">
        <f t="shared" si="4"/>
        <v>0</v>
      </c>
      <c r="M47" s="60">
        <f t="shared" si="5"/>
        <v>0</v>
      </c>
      <c r="N47" s="61" t="s">
        <v>458</v>
      </c>
      <c r="O47" s="72"/>
      <c r="P47" s="61">
        <v>4.5</v>
      </c>
      <c r="Q47" s="61"/>
      <c r="R47" s="61" t="s">
        <v>458</v>
      </c>
      <c r="S47" s="61"/>
      <c r="T47" s="61">
        <v>4.5</v>
      </c>
      <c r="U47" s="61">
        <v>3</v>
      </c>
      <c r="V47" s="68"/>
      <c r="W47" s="61" t="s">
        <v>458</v>
      </c>
      <c r="X47" s="61"/>
      <c r="Y47" s="61">
        <v>4.5</v>
      </c>
      <c r="Z47" s="61">
        <v>0.5</v>
      </c>
      <c r="AA47" s="61" t="s">
        <v>458</v>
      </c>
      <c r="AB47" s="61"/>
      <c r="AC47" s="61">
        <v>4.5</v>
      </c>
      <c r="AD47" s="61">
        <v>0.5</v>
      </c>
      <c r="AE47" s="61" t="s">
        <v>458</v>
      </c>
      <c r="AF47" s="61"/>
      <c r="AG47" s="61">
        <v>4.5</v>
      </c>
      <c r="AH47" s="61"/>
      <c r="AI47" s="61" t="s">
        <v>458</v>
      </c>
      <c r="AJ47" s="61"/>
      <c r="AK47" s="61">
        <v>4</v>
      </c>
      <c r="AL47" s="61">
        <v>2</v>
      </c>
      <c r="AM47" s="61" t="s">
        <v>458</v>
      </c>
      <c r="AN47" s="61"/>
      <c r="AO47" s="61">
        <v>3.5</v>
      </c>
      <c r="AP47" s="61"/>
      <c r="AQ47" s="61" t="s">
        <v>458</v>
      </c>
      <c r="AR47" s="61"/>
      <c r="AS47" s="61">
        <v>4.5</v>
      </c>
      <c r="AT47" s="61">
        <v>1</v>
      </c>
      <c r="AU47" s="68">
        <f>18.5-7.5-1.5</f>
        <v>9.5</v>
      </c>
      <c r="AV47" s="61" t="s">
        <v>478</v>
      </c>
      <c r="AW47" s="61"/>
      <c r="AX47" s="61"/>
      <c r="AY47" s="61"/>
      <c r="AZ47" s="61" t="s">
        <v>458</v>
      </c>
      <c r="BA47" s="61"/>
      <c r="BB47" s="80">
        <v>4.5</v>
      </c>
      <c r="BC47" s="61">
        <v>2</v>
      </c>
      <c r="BD47" s="61" t="s">
        <v>458</v>
      </c>
      <c r="BE47" s="61"/>
      <c r="BF47" s="77">
        <v>3.5</v>
      </c>
      <c r="BG47" s="61"/>
      <c r="BH47" s="61" t="s">
        <v>458</v>
      </c>
      <c r="BI47" s="61"/>
      <c r="BJ47" s="61">
        <v>4.5</v>
      </c>
      <c r="BK47" s="61">
        <v>0.5</v>
      </c>
      <c r="BL47" s="61" t="s">
        <v>458</v>
      </c>
      <c r="BM47" s="61"/>
      <c r="BN47" s="77">
        <v>4.5</v>
      </c>
      <c r="BO47" s="61">
        <v>1.5</v>
      </c>
      <c r="BP47" s="61" t="s">
        <v>458</v>
      </c>
      <c r="BQ47" s="61"/>
      <c r="BR47" s="61">
        <v>4.5</v>
      </c>
      <c r="BS47" s="61">
        <v>0.5</v>
      </c>
      <c r="BT47" s="68">
        <v>4</v>
      </c>
      <c r="BU47" s="61" t="s">
        <v>13</v>
      </c>
      <c r="BV47" s="61"/>
      <c r="BW47" s="61"/>
      <c r="BX47" s="61"/>
      <c r="BY47" s="61" t="s">
        <v>458</v>
      </c>
      <c r="BZ47" s="61"/>
      <c r="CA47" s="61">
        <v>4.5</v>
      </c>
      <c r="CB47" s="61"/>
      <c r="CC47" s="61" t="s">
        <v>458</v>
      </c>
      <c r="CD47" s="61"/>
      <c r="CE47" s="61">
        <v>4.5</v>
      </c>
      <c r="CF47" s="61">
        <v>0.5</v>
      </c>
      <c r="CG47" s="61" t="s">
        <v>458</v>
      </c>
      <c r="CH47" s="61"/>
      <c r="CI47" s="61">
        <v>4</v>
      </c>
      <c r="CJ47" s="61"/>
      <c r="CK47" s="61" t="s">
        <v>458</v>
      </c>
      <c r="CL47" s="61"/>
      <c r="CM47" s="86">
        <v>4.5</v>
      </c>
      <c r="CN47" s="61"/>
      <c r="CO47" s="61" t="s">
        <v>458</v>
      </c>
      <c r="CP47" s="61"/>
      <c r="CQ47" s="61">
        <v>1.5</v>
      </c>
      <c r="CR47" s="61"/>
      <c r="CS47" s="68">
        <v>8</v>
      </c>
      <c r="CT47" s="61" t="s">
        <v>458</v>
      </c>
      <c r="CU47" s="61"/>
      <c r="CV47" s="61">
        <v>4</v>
      </c>
      <c r="CW47" s="61"/>
      <c r="CX47" s="61" t="s">
        <v>458</v>
      </c>
      <c r="CY47" s="61"/>
      <c r="CZ47" s="61"/>
      <c r="DA47" s="61"/>
      <c r="DB47" s="61" t="s">
        <v>458</v>
      </c>
      <c r="DC47" s="61"/>
      <c r="DD47" s="86">
        <v>4</v>
      </c>
      <c r="DE47" s="61"/>
      <c r="DF47" s="61" t="s">
        <v>458</v>
      </c>
      <c r="DG47" s="61"/>
      <c r="DH47" s="61">
        <v>3</v>
      </c>
      <c r="DI47" s="61"/>
      <c r="DJ47" s="61" t="s">
        <v>458</v>
      </c>
      <c r="DK47" s="61"/>
      <c r="DL47" s="80">
        <v>4</v>
      </c>
      <c r="DM47" s="61"/>
      <c r="DN47" s="61" t="s">
        <v>458</v>
      </c>
      <c r="DO47" s="61"/>
      <c r="DP47" s="61">
        <v>4.5</v>
      </c>
      <c r="DQ47" s="61"/>
      <c r="DR47" s="68">
        <v>8</v>
      </c>
    </row>
    <row r="48" spans="1:122" x14ac:dyDescent="0.25">
      <c r="A48" s="59">
        <v>38</v>
      </c>
      <c r="B48" s="72" t="s">
        <v>108</v>
      </c>
      <c r="C48" s="73" t="s">
        <v>109</v>
      </c>
      <c r="D48" s="60">
        <f t="shared" si="6"/>
        <v>26</v>
      </c>
      <c r="E48" s="60">
        <f t="shared" si="7"/>
        <v>100</v>
      </c>
      <c r="F48" s="60">
        <f t="shared" si="0"/>
        <v>5</v>
      </c>
      <c r="G48" s="60">
        <f t="shared" si="1"/>
        <v>0</v>
      </c>
      <c r="H48" s="60">
        <f t="shared" si="2"/>
        <v>43</v>
      </c>
      <c r="I48" s="60">
        <f t="shared" si="8"/>
        <v>0</v>
      </c>
      <c r="J48" s="60">
        <f t="shared" si="3"/>
        <v>0</v>
      </c>
      <c r="K48" s="60">
        <f t="shared" si="9"/>
        <v>0</v>
      </c>
      <c r="L48" s="60">
        <f t="shared" si="4"/>
        <v>0</v>
      </c>
      <c r="M48" s="60">
        <f t="shared" si="5"/>
        <v>0</v>
      </c>
      <c r="N48" s="61" t="s">
        <v>458</v>
      </c>
      <c r="O48" s="72"/>
      <c r="P48" s="61">
        <v>3.5</v>
      </c>
      <c r="Q48" s="61"/>
      <c r="R48" s="61" t="s">
        <v>458</v>
      </c>
      <c r="S48" s="61"/>
      <c r="T48" s="61">
        <v>4.5</v>
      </c>
      <c r="U48" s="61">
        <v>3</v>
      </c>
      <c r="V48" s="68">
        <v>10.5</v>
      </c>
      <c r="W48" s="61" t="s">
        <v>458</v>
      </c>
      <c r="X48" s="61"/>
      <c r="Y48" s="61">
        <v>4.5</v>
      </c>
      <c r="Z48" s="61">
        <v>0.5</v>
      </c>
      <c r="AA48" s="61" t="s">
        <v>458</v>
      </c>
      <c r="AB48" s="61"/>
      <c r="AC48" s="61">
        <v>4.5</v>
      </c>
      <c r="AD48" s="61"/>
      <c r="AE48" s="61" t="s">
        <v>458</v>
      </c>
      <c r="AF48" s="61"/>
      <c r="AG48" s="61">
        <v>4.5</v>
      </c>
      <c r="AH48" s="61"/>
      <c r="AI48" s="61" t="s">
        <v>458</v>
      </c>
      <c r="AJ48" s="61"/>
      <c r="AK48" s="61">
        <v>4</v>
      </c>
      <c r="AL48" s="61"/>
      <c r="AM48" s="61" t="s">
        <v>458</v>
      </c>
      <c r="AN48" s="61"/>
      <c r="AO48" s="61">
        <v>1.5</v>
      </c>
      <c r="AP48" s="61"/>
      <c r="AQ48" s="61" t="s">
        <v>458</v>
      </c>
      <c r="AR48" s="61"/>
      <c r="AS48" s="61">
        <v>4</v>
      </c>
      <c r="AT48" s="61"/>
      <c r="AU48" s="68">
        <v>8</v>
      </c>
      <c r="AV48" s="61" t="s">
        <v>458</v>
      </c>
      <c r="AW48" s="61"/>
      <c r="AX48" s="61">
        <v>3.5</v>
      </c>
      <c r="AY48" s="61"/>
      <c r="AZ48" s="61" t="s">
        <v>458</v>
      </c>
      <c r="BA48" s="61"/>
      <c r="BB48" s="80">
        <v>3.5</v>
      </c>
      <c r="BC48" s="61"/>
      <c r="BD48" s="61" t="s">
        <v>458</v>
      </c>
      <c r="BE48" s="61"/>
      <c r="BF48" s="77">
        <v>4.5</v>
      </c>
      <c r="BG48" s="61"/>
      <c r="BH48" s="61" t="s">
        <v>458</v>
      </c>
      <c r="BI48" s="61"/>
      <c r="BJ48" s="61">
        <v>4.5</v>
      </c>
      <c r="BK48" s="61">
        <v>0.5</v>
      </c>
      <c r="BL48" s="61" t="s">
        <v>458</v>
      </c>
      <c r="BM48" s="61"/>
      <c r="BN48" s="77">
        <v>4.5</v>
      </c>
      <c r="BO48" s="61">
        <v>0.5</v>
      </c>
      <c r="BP48" s="61" t="s">
        <v>458</v>
      </c>
      <c r="BQ48" s="61"/>
      <c r="BR48" s="61">
        <v>4.5</v>
      </c>
      <c r="BS48" s="61">
        <v>0.5</v>
      </c>
      <c r="BT48" s="68">
        <v>8</v>
      </c>
      <c r="BU48" s="61" t="s">
        <v>458</v>
      </c>
      <c r="BV48" s="61"/>
      <c r="BW48" s="61">
        <v>4.5</v>
      </c>
      <c r="BX48" s="61"/>
      <c r="BY48" s="61" t="s">
        <v>458</v>
      </c>
      <c r="BZ48" s="61"/>
      <c r="CA48" s="61">
        <v>3.5</v>
      </c>
      <c r="CB48" s="61"/>
      <c r="CC48" s="61" t="s">
        <v>458</v>
      </c>
      <c r="CD48" s="61"/>
      <c r="CE48" s="61">
        <v>4</v>
      </c>
      <c r="CF48" s="61"/>
      <c r="CG48" s="61" t="s">
        <v>458</v>
      </c>
      <c r="CH48" s="61"/>
      <c r="CI48" s="61">
        <v>3.5</v>
      </c>
      <c r="CJ48" s="61"/>
      <c r="CK48" s="61" t="s">
        <v>458</v>
      </c>
      <c r="CL48" s="61"/>
      <c r="CM48" s="86">
        <v>4.5</v>
      </c>
      <c r="CN48" s="61"/>
      <c r="CO48" s="61" t="s">
        <v>458</v>
      </c>
      <c r="CP48" s="61"/>
      <c r="CQ48" s="61">
        <v>1</v>
      </c>
      <c r="CR48" s="61"/>
      <c r="CS48" s="68">
        <v>8.5</v>
      </c>
      <c r="CT48" s="61" t="s">
        <v>458</v>
      </c>
      <c r="CU48" s="61"/>
      <c r="CV48" s="61">
        <v>4</v>
      </c>
      <c r="CW48" s="61"/>
      <c r="CX48" s="61" t="s">
        <v>458</v>
      </c>
      <c r="CY48" s="61"/>
      <c r="CZ48" s="61">
        <v>4</v>
      </c>
      <c r="DA48" s="61"/>
      <c r="DB48" s="61" t="s">
        <v>458</v>
      </c>
      <c r="DC48" s="61"/>
      <c r="DD48" s="86">
        <v>4</v>
      </c>
      <c r="DE48" s="61"/>
      <c r="DF48" s="61" t="s">
        <v>458</v>
      </c>
      <c r="DG48" s="61"/>
      <c r="DH48" s="61">
        <v>3.5</v>
      </c>
      <c r="DI48" s="61"/>
      <c r="DJ48" s="61" t="s">
        <v>458</v>
      </c>
      <c r="DK48" s="61"/>
      <c r="DL48" s="80">
        <v>4</v>
      </c>
      <c r="DM48" s="61"/>
      <c r="DN48" s="61" t="s">
        <v>458</v>
      </c>
      <c r="DO48" s="61"/>
      <c r="DP48" s="61">
        <f>21-17.5</f>
        <v>3.5</v>
      </c>
      <c r="DQ48" s="61"/>
      <c r="DR48" s="68">
        <v>8</v>
      </c>
    </row>
    <row r="49" spans="1:122" x14ac:dyDescent="0.25">
      <c r="A49" s="59">
        <v>39</v>
      </c>
      <c r="B49" s="72" t="s">
        <v>110</v>
      </c>
      <c r="C49" s="73" t="s">
        <v>111</v>
      </c>
      <c r="D49" s="60">
        <f t="shared" si="6"/>
        <v>26</v>
      </c>
      <c r="E49" s="60">
        <f t="shared" si="7"/>
        <v>50.5</v>
      </c>
      <c r="F49" s="60">
        <f t="shared" si="0"/>
        <v>0</v>
      </c>
      <c r="G49" s="60">
        <f t="shared" si="1"/>
        <v>0</v>
      </c>
      <c r="H49" s="60">
        <f t="shared" si="2"/>
        <v>0</v>
      </c>
      <c r="I49" s="60">
        <f t="shared" si="8"/>
        <v>0</v>
      </c>
      <c r="J49" s="60">
        <f t="shared" si="3"/>
        <v>0</v>
      </c>
      <c r="K49" s="60">
        <f t="shared" si="9"/>
        <v>0</v>
      </c>
      <c r="L49" s="60">
        <f t="shared" si="4"/>
        <v>0</v>
      </c>
      <c r="M49" s="60">
        <f t="shared" si="5"/>
        <v>0</v>
      </c>
      <c r="N49" s="61" t="s">
        <v>458</v>
      </c>
      <c r="O49" s="72"/>
      <c r="P49" s="61">
        <v>3.5</v>
      </c>
      <c r="Q49" s="61"/>
      <c r="R49" s="61" t="s">
        <v>458</v>
      </c>
      <c r="S49" s="61"/>
      <c r="T49" s="61"/>
      <c r="U49" s="61"/>
      <c r="V49" s="68"/>
      <c r="W49" s="61" t="s">
        <v>458</v>
      </c>
      <c r="X49" s="61"/>
      <c r="Y49" s="61">
        <v>2.5</v>
      </c>
      <c r="Z49" s="61"/>
      <c r="AA49" s="61" t="s">
        <v>458</v>
      </c>
      <c r="AB49" s="61"/>
      <c r="AC49" s="61">
        <v>2.5</v>
      </c>
      <c r="AD49" s="61"/>
      <c r="AE49" s="61" t="s">
        <v>458</v>
      </c>
      <c r="AF49" s="61"/>
      <c r="AG49" s="61">
        <v>3.5</v>
      </c>
      <c r="AH49" s="61"/>
      <c r="AI49" s="61" t="s">
        <v>458</v>
      </c>
      <c r="AJ49" s="61"/>
      <c r="AK49" s="61">
        <v>4</v>
      </c>
      <c r="AL49" s="61"/>
      <c r="AM49" s="61" t="s">
        <v>458</v>
      </c>
      <c r="AN49" s="61"/>
      <c r="AO49" s="61">
        <v>1</v>
      </c>
      <c r="AP49" s="61"/>
      <c r="AQ49" s="61" t="s">
        <v>458</v>
      </c>
      <c r="AR49" s="61"/>
      <c r="AS49" s="61">
        <v>3</v>
      </c>
      <c r="AT49" s="61"/>
      <c r="AU49" s="68"/>
      <c r="AV49" s="61" t="s">
        <v>458</v>
      </c>
      <c r="AW49" s="61"/>
      <c r="AX49" s="61">
        <v>3.5</v>
      </c>
      <c r="AY49" s="61"/>
      <c r="AZ49" s="61" t="s">
        <v>458</v>
      </c>
      <c r="BA49" s="61"/>
      <c r="BB49" s="80">
        <v>3.5</v>
      </c>
      <c r="BC49" s="61"/>
      <c r="BD49" s="61" t="s">
        <v>458</v>
      </c>
      <c r="BE49" s="61"/>
      <c r="BF49" s="77">
        <v>3.5</v>
      </c>
      <c r="BG49" s="61"/>
      <c r="BH49" s="61" t="s">
        <v>458</v>
      </c>
      <c r="BI49" s="61"/>
      <c r="BJ49" s="61">
        <v>3</v>
      </c>
      <c r="BK49" s="61"/>
      <c r="BL49" s="61" t="s">
        <v>458</v>
      </c>
      <c r="BM49" s="61"/>
      <c r="BN49" s="77">
        <v>3</v>
      </c>
      <c r="BO49" s="61"/>
      <c r="BP49" s="61" t="s">
        <v>458</v>
      </c>
      <c r="BQ49" s="61"/>
      <c r="BR49" s="61"/>
      <c r="BS49" s="61"/>
      <c r="BT49" s="68"/>
      <c r="BU49" s="61" t="s">
        <v>458</v>
      </c>
      <c r="BV49" s="61"/>
      <c r="BW49" s="61"/>
      <c r="BX49" s="61"/>
      <c r="BY49" s="61" t="s">
        <v>458</v>
      </c>
      <c r="BZ49" s="61"/>
      <c r="CA49" s="61">
        <v>4</v>
      </c>
      <c r="CB49" s="61"/>
      <c r="CC49" s="61" t="s">
        <v>458</v>
      </c>
      <c r="CD49" s="61"/>
      <c r="CE49" s="61">
        <v>3.5</v>
      </c>
      <c r="CF49" s="61"/>
      <c r="CG49" s="61" t="s">
        <v>458</v>
      </c>
      <c r="CH49" s="61"/>
      <c r="CI49" s="61">
        <v>3.5</v>
      </c>
      <c r="CJ49" s="61"/>
      <c r="CK49" s="61" t="s">
        <v>458</v>
      </c>
      <c r="CL49" s="61"/>
      <c r="CM49" s="86">
        <f>20.5-0.5-17</f>
        <v>3</v>
      </c>
      <c r="CN49" s="61"/>
      <c r="CO49" s="61" t="s">
        <v>458</v>
      </c>
      <c r="CP49" s="61"/>
      <c r="CQ49" s="61"/>
      <c r="CR49" s="61"/>
      <c r="CS49" s="68"/>
      <c r="CT49" s="61" t="s">
        <v>458</v>
      </c>
      <c r="CU49" s="61"/>
      <c r="CV49" s="61"/>
      <c r="CW49" s="61"/>
      <c r="CX49" s="61" t="s">
        <v>458</v>
      </c>
      <c r="CY49" s="61"/>
      <c r="CZ49" s="61"/>
      <c r="DA49" s="61"/>
      <c r="DB49" s="61" t="s">
        <v>458</v>
      </c>
      <c r="DC49" s="61"/>
      <c r="DD49" s="86"/>
      <c r="DE49" s="61"/>
      <c r="DF49" s="61" t="s">
        <v>458</v>
      </c>
      <c r="DG49" s="61"/>
      <c r="DH49" s="61"/>
      <c r="DI49" s="61"/>
      <c r="DJ49" s="61" t="s">
        <v>458</v>
      </c>
      <c r="DK49" s="61"/>
      <c r="DL49" s="80"/>
      <c r="DM49" s="61"/>
      <c r="DN49" s="61" t="s">
        <v>458</v>
      </c>
      <c r="DO49" s="61"/>
      <c r="DP49" s="61"/>
      <c r="DQ49" s="61"/>
      <c r="DR49" s="68"/>
    </row>
    <row r="50" spans="1:122" x14ac:dyDescent="0.25">
      <c r="A50" s="59">
        <v>40</v>
      </c>
      <c r="B50" s="72" t="s">
        <v>112</v>
      </c>
      <c r="C50" s="73" t="s">
        <v>113</v>
      </c>
      <c r="D50" s="60">
        <f t="shared" si="6"/>
        <v>25</v>
      </c>
      <c r="E50" s="60">
        <f t="shared" si="7"/>
        <v>88.5</v>
      </c>
      <c r="F50" s="60">
        <f t="shared" si="0"/>
        <v>5</v>
      </c>
      <c r="G50" s="60">
        <f t="shared" si="1"/>
        <v>0</v>
      </c>
      <c r="H50" s="60">
        <f t="shared" si="2"/>
        <v>31</v>
      </c>
      <c r="I50" s="60">
        <f t="shared" si="8"/>
        <v>0</v>
      </c>
      <c r="J50" s="60">
        <f t="shared" si="3"/>
        <v>1</v>
      </c>
      <c r="K50" s="60">
        <f t="shared" si="9"/>
        <v>0</v>
      </c>
      <c r="L50" s="60">
        <f t="shared" si="4"/>
        <v>0</v>
      </c>
      <c r="M50" s="60">
        <f t="shared" si="5"/>
        <v>0</v>
      </c>
      <c r="N50" s="61" t="s">
        <v>458</v>
      </c>
      <c r="O50" s="72"/>
      <c r="P50" s="61">
        <v>4.5</v>
      </c>
      <c r="Q50" s="61">
        <v>0.5</v>
      </c>
      <c r="R50" s="61" t="s">
        <v>458</v>
      </c>
      <c r="S50" s="61"/>
      <c r="T50" s="61"/>
      <c r="U50" s="61"/>
      <c r="V50" s="68">
        <v>5.5</v>
      </c>
      <c r="W50" s="61" t="s">
        <v>458</v>
      </c>
      <c r="X50" s="61"/>
      <c r="Y50" s="61">
        <v>4.5</v>
      </c>
      <c r="Z50" s="61">
        <v>0.5</v>
      </c>
      <c r="AA50" s="61" t="s">
        <v>458</v>
      </c>
      <c r="AB50" s="61"/>
      <c r="AC50" s="61">
        <v>4.5</v>
      </c>
      <c r="AD50" s="61">
        <v>0.5</v>
      </c>
      <c r="AE50" s="61" t="s">
        <v>458</v>
      </c>
      <c r="AF50" s="61"/>
      <c r="AG50" s="61">
        <v>4.5</v>
      </c>
      <c r="AH50" s="61"/>
      <c r="AI50" s="61" t="s">
        <v>458</v>
      </c>
      <c r="AJ50" s="61"/>
      <c r="AK50" s="61">
        <v>4</v>
      </c>
      <c r="AL50" s="61"/>
      <c r="AM50" s="61" t="s">
        <v>458</v>
      </c>
      <c r="AN50" s="61"/>
      <c r="AO50" s="61">
        <v>1.5</v>
      </c>
      <c r="AP50" s="61"/>
      <c r="AQ50" s="61" t="s">
        <v>458</v>
      </c>
      <c r="AR50" s="61"/>
      <c r="AS50" s="61"/>
      <c r="AT50" s="61"/>
      <c r="AU50" s="68">
        <v>9.5</v>
      </c>
      <c r="AV50" s="61" t="s">
        <v>458</v>
      </c>
      <c r="AW50" s="61"/>
      <c r="AX50" s="61">
        <v>3.5</v>
      </c>
      <c r="AY50" s="61"/>
      <c r="AZ50" s="61" t="s">
        <v>458</v>
      </c>
      <c r="BA50" s="61"/>
      <c r="BB50" s="80">
        <v>4.5</v>
      </c>
      <c r="BC50" s="61">
        <v>2</v>
      </c>
      <c r="BD50" s="61" t="s">
        <v>458</v>
      </c>
      <c r="BE50" s="61"/>
      <c r="BF50" s="77">
        <v>4.5</v>
      </c>
      <c r="BG50" s="61"/>
      <c r="BH50" s="61" t="s">
        <v>458</v>
      </c>
      <c r="BI50" s="61"/>
      <c r="BJ50" s="61">
        <v>4.5</v>
      </c>
      <c r="BK50" s="61">
        <v>0.5</v>
      </c>
      <c r="BL50" s="61" t="s">
        <v>458</v>
      </c>
      <c r="BM50" s="61"/>
      <c r="BN50" s="77">
        <v>4.5</v>
      </c>
      <c r="BO50" s="61">
        <v>0.5</v>
      </c>
      <c r="BP50" s="61" t="s">
        <v>458</v>
      </c>
      <c r="BQ50" s="61"/>
      <c r="BR50" s="61">
        <v>4.5</v>
      </c>
      <c r="BS50" s="61">
        <v>0.5</v>
      </c>
      <c r="BT50" s="68">
        <v>8</v>
      </c>
      <c r="BU50" s="61" t="s">
        <v>13</v>
      </c>
      <c r="BV50" s="61"/>
      <c r="BW50" s="61"/>
      <c r="BX50" s="61"/>
      <c r="BY50" s="61" t="s">
        <v>458</v>
      </c>
      <c r="BZ50" s="61"/>
      <c r="CA50" s="61">
        <v>3.5</v>
      </c>
      <c r="CB50" s="61"/>
      <c r="CC50" s="61" t="s">
        <v>458</v>
      </c>
      <c r="CD50" s="61"/>
      <c r="CE50" s="61">
        <v>4</v>
      </c>
      <c r="CF50" s="61"/>
      <c r="CG50" s="61" t="s">
        <v>458</v>
      </c>
      <c r="CH50" s="61"/>
      <c r="CI50" s="61">
        <v>4</v>
      </c>
      <c r="CJ50" s="61"/>
      <c r="CK50" s="61" t="s">
        <v>458</v>
      </c>
      <c r="CL50" s="61"/>
      <c r="CM50" s="86">
        <v>4.5</v>
      </c>
      <c r="CN50" s="61"/>
      <c r="CO50" s="61" t="s">
        <v>458</v>
      </c>
      <c r="CP50" s="61"/>
      <c r="CQ50" s="61">
        <v>1.5</v>
      </c>
      <c r="CR50" s="61"/>
      <c r="CS50" s="68">
        <v>8</v>
      </c>
      <c r="CT50" s="61" t="s">
        <v>458</v>
      </c>
      <c r="CU50" s="61"/>
      <c r="CV50" s="61">
        <v>4</v>
      </c>
      <c r="CW50" s="61"/>
      <c r="CX50" s="61" t="s">
        <v>458</v>
      </c>
      <c r="CY50" s="61"/>
      <c r="CZ50" s="61">
        <f>20-17-0.5</f>
        <v>2.5</v>
      </c>
      <c r="DA50" s="61"/>
      <c r="DB50" s="61" t="s">
        <v>458</v>
      </c>
      <c r="DC50" s="61"/>
      <c r="DD50" s="86">
        <v>4</v>
      </c>
      <c r="DE50" s="61"/>
      <c r="DF50" s="61" t="s">
        <v>458</v>
      </c>
      <c r="DG50" s="61"/>
      <c r="DH50" s="61">
        <v>3</v>
      </c>
      <c r="DI50" s="61"/>
      <c r="DJ50" s="61" t="s">
        <v>458</v>
      </c>
      <c r="DK50" s="61"/>
      <c r="DL50" s="80">
        <v>3.5</v>
      </c>
      <c r="DM50" s="61"/>
      <c r="DN50" s="61" t="s">
        <v>458</v>
      </c>
      <c r="DO50" s="61"/>
      <c r="DP50" s="61">
        <v>4.5</v>
      </c>
      <c r="DQ50" s="61"/>
      <c r="DR50" s="68"/>
    </row>
    <row r="51" spans="1:122" x14ac:dyDescent="0.25">
      <c r="A51" s="59">
        <v>41</v>
      </c>
      <c r="B51" s="72" t="s">
        <v>114</v>
      </c>
      <c r="C51" s="73" t="s">
        <v>115</v>
      </c>
      <c r="D51" s="60">
        <f t="shared" si="6"/>
        <v>26</v>
      </c>
      <c r="E51" s="60">
        <f t="shared" si="7"/>
        <v>80</v>
      </c>
      <c r="F51" s="60">
        <f t="shared" si="0"/>
        <v>4.5</v>
      </c>
      <c r="G51" s="60">
        <f t="shared" si="1"/>
        <v>0</v>
      </c>
      <c r="H51" s="60">
        <f t="shared" si="2"/>
        <v>21.5</v>
      </c>
      <c r="I51" s="60">
        <f t="shared" si="8"/>
        <v>0</v>
      </c>
      <c r="J51" s="60">
        <f t="shared" si="3"/>
        <v>0</v>
      </c>
      <c r="K51" s="60">
        <f t="shared" si="9"/>
        <v>0</v>
      </c>
      <c r="L51" s="60">
        <f t="shared" si="4"/>
        <v>0</v>
      </c>
      <c r="M51" s="60">
        <f t="shared" si="5"/>
        <v>0</v>
      </c>
      <c r="N51" s="61" t="s">
        <v>458</v>
      </c>
      <c r="O51" s="72"/>
      <c r="P51" s="61">
        <v>4.5</v>
      </c>
      <c r="Q51" s="61">
        <v>0.5</v>
      </c>
      <c r="R51" s="61" t="s">
        <v>458</v>
      </c>
      <c r="S51" s="61"/>
      <c r="T51" s="61"/>
      <c r="U51" s="61"/>
      <c r="V51" s="68">
        <v>5.5</v>
      </c>
      <c r="W51" s="61" t="s">
        <v>458</v>
      </c>
      <c r="X51" s="61"/>
      <c r="Y51" s="61">
        <v>4.5</v>
      </c>
      <c r="Z51" s="61">
        <v>0.5</v>
      </c>
      <c r="AA51" s="61" t="s">
        <v>458</v>
      </c>
      <c r="AB51" s="61"/>
      <c r="AC51" s="61">
        <v>4.5</v>
      </c>
      <c r="AD51" s="61">
        <v>0.5</v>
      </c>
      <c r="AE51" s="61" t="s">
        <v>458</v>
      </c>
      <c r="AF51" s="61"/>
      <c r="AG51" s="61">
        <v>4.5</v>
      </c>
      <c r="AH51" s="61"/>
      <c r="AI51" s="61" t="s">
        <v>458</v>
      </c>
      <c r="AJ51" s="61"/>
      <c r="AK51" s="61">
        <v>4</v>
      </c>
      <c r="AL51" s="61"/>
      <c r="AM51" s="61" t="s">
        <v>458</v>
      </c>
      <c r="AN51" s="61"/>
      <c r="AO51" s="61">
        <v>1.5</v>
      </c>
      <c r="AP51" s="61"/>
      <c r="AQ51" s="61" t="s">
        <v>458</v>
      </c>
      <c r="AR51" s="61"/>
      <c r="AS51" s="61"/>
      <c r="AT51" s="61"/>
      <c r="AU51" s="68"/>
      <c r="AV51" s="61" t="s">
        <v>458</v>
      </c>
      <c r="AW51" s="61"/>
      <c r="AX51" s="61"/>
      <c r="AY51" s="61"/>
      <c r="AZ51" s="61" t="s">
        <v>458</v>
      </c>
      <c r="BA51" s="61"/>
      <c r="BB51" s="80">
        <v>4.5</v>
      </c>
      <c r="BC51" s="61">
        <v>2</v>
      </c>
      <c r="BD51" s="61" t="s">
        <v>458</v>
      </c>
      <c r="BE51" s="61"/>
      <c r="BF51" s="77">
        <v>4.5</v>
      </c>
      <c r="BG51" s="61"/>
      <c r="BH51" s="61" t="s">
        <v>458</v>
      </c>
      <c r="BI51" s="61"/>
      <c r="BJ51" s="61">
        <v>4.5</v>
      </c>
      <c r="BK51" s="61">
        <v>0.5</v>
      </c>
      <c r="BL51" s="61" t="s">
        <v>458</v>
      </c>
      <c r="BM51" s="61"/>
      <c r="BN51" s="77">
        <v>4.5</v>
      </c>
      <c r="BO51" s="61">
        <v>0.5</v>
      </c>
      <c r="BP51" s="61" t="s">
        <v>458</v>
      </c>
      <c r="BQ51" s="61"/>
      <c r="BR51" s="61"/>
      <c r="BS51" s="61"/>
      <c r="BT51" s="68">
        <v>8</v>
      </c>
      <c r="BU51" s="61" t="s">
        <v>458</v>
      </c>
      <c r="BV51" s="61"/>
      <c r="BW51" s="61">
        <v>4.5</v>
      </c>
      <c r="BX51" s="61"/>
      <c r="BY51" s="61" t="s">
        <v>458</v>
      </c>
      <c r="BZ51" s="61"/>
      <c r="CA51" s="61">
        <v>3.5</v>
      </c>
      <c r="CB51" s="61"/>
      <c r="CC51" s="61" t="s">
        <v>458</v>
      </c>
      <c r="CD51" s="61"/>
      <c r="CE51" s="61">
        <v>4</v>
      </c>
      <c r="CF51" s="61"/>
      <c r="CG51" s="61" t="s">
        <v>458</v>
      </c>
      <c r="CH51" s="61"/>
      <c r="CI51" s="61"/>
      <c r="CJ51" s="61"/>
      <c r="CK51" s="61" t="s">
        <v>458</v>
      </c>
      <c r="CL51" s="61"/>
      <c r="CM51" s="86">
        <v>4.5</v>
      </c>
      <c r="CN51" s="61"/>
      <c r="CO51" s="61" t="s">
        <v>458</v>
      </c>
      <c r="CP51" s="61"/>
      <c r="CQ51" s="61">
        <v>1.5</v>
      </c>
      <c r="CR51" s="61"/>
      <c r="CS51" s="68">
        <v>8</v>
      </c>
      <c r="CT51" s="61" t="s">
        <v>458</v>
      </c>
      <c r="CU51" s="61"/>
      <c r="CV51" s="61">
        <v>4</v>
      </c>
      <c r="CW51" s="61"/>
      <c r="CX51" s="61" t="s">
        <v>458</v>
      </c>
      <c r="CY51" s="61"/>
      <c r="CZ51" s="61">
        <v>2.5</v>
      </c>
      <c r="DA51" s="61"/>
      <c r="DB51" s="61" t="s">
        <v>458</v>
      </c>
      <c r="DC51" s="61"/>
      <c r="DD51" s="86">
        <v>4</v>
      </c>
      <c r="DE51" s="61"/>
      <c r="DF51" s="61" t="s">
        <v>458</v>
      </c>
      <c r="DG51" s="61"/>
      <c r="DH51" s="61">
        <v>3</v>
      </c>
      <c r="DI51" s="61"/>
      <c r="DJ51" s="61" t="s">
        <v>458</v>
      </c>
      <c r="DK51" s="61"/>
      <c r="DL51" s="80">
        <v>3.5</v>
      </c>
      <c r="DM51" s="61"/>
      <c r="DN51" s="61" t="s">
        <v>458</v>
      </c>
      <c r="DO51" s="61"/>
      <c r="DP51" s="61">
        <v>3.5</v>
      </c>
      <c r="DQ51" s="61"/>
      <c r="DR51" s="68"/>
    </row>
    <row r="52" spans="1:122" x14ac:dyDescent="0.25">
      <c r="A52" s="59">
        <v>42</v>
      </c>
      <c r="B52" s="72" t="s">
        <v>116</v>
      </c>
      <c r="C52" s="73" t="s">
        <v>117</v>
      </c>
      <c r="D52" s="60">
        <f t="shared" si="6"/>
        <v>25</v>
      </c>
      <c r="E52" s="60">
        <f t="shared" si="7"/>
        <v>67.5</v>
      </c>
      <c r="F52" s="60">
        <f t="shared" si="0"/>
        <v>0.5</v>
      </c>
      <c r="G52" s="60">
        <f t="shared" si="1"/>
        <v>0</v>
      </c>
      <c r="H52" s="60">
        <f t="shared" si="2"/>
        <v>28</v>
      </c>
      <c r="I52" s="60">
        <f t="shared" si="8"/>
        <v>0</v>
      </c>
      <c r="J52" s="60">
        <f t="shared" si="3"/>
        <v>1</v>
      </c>
      <c r="K52" s="60">
        <f t="shared" si="9"/>
        <v>0</v>
      </c>
      <c r="L52" s="60">
        <f t="shared" si="4"/>
        <v>0</v>
      </c>
      <c r="M52" s="60">
        <f t="shared" si="5"/>
        <v>0</v>
      </c>
      <c r="N52" s="61" t="s">
        <v>458</v>
      </c>
      <c r="O52" s="72"/>
      <c r="P52" s="61">
        <v>1</v>
      </c>
      <c r="Q52" s="61"/>
      <c r="R52" s="61" t="s">
        <v>458</v>
      </c>
      <c r="S52" s="61"/>
      <c r="T52" s="61">
        <v>4</v>
      </c>
      <c r="U52" s="61"/>
      <c r="V52" s="68">
        <v>4</v>
      </c>
      <c r="W52" s="61" t="s">
        <v>458</v>
      </c>
      <c r="X52" s="61"/>
      <c r="Y52" s="61">
        <v>4.5</v>
      </c>
      <c r="Z52" s="61"/>
      <c r="AA52" s="61" t="s">
        <v>458</v>
      </c>
      <c r="AB52" s="61"/>
      <c r="AC52" s="61"/>
      <c r="AD52" s="61"/>
      <c r="AE52" s="61" t="s">
        <v>13</v>
      </c>
      <c r="AF52" s="61"/>
      <c r="AG52" s="61"/>
      <c r="AH52" s="61"/>
      <c r="AI52" s="61" t="s">
        <v>458</v>
      </c>
      <c r="AJ52" s="61"/>
      <c r="AK52" s="61">
        <v>3.5</v>
      </c>
      <c r="AL52" s="61"/>
      <c r="AM52" s="61" t="s">
        <v>458</v>
      </c>
      <c r="AN52" s="61"/>
      <c r="AO52" s="61">
        <v>1</v>
      </c>
      <c r="AP52" s="61"/>
      <c r="AQ52" s="61" t="s">
        <v>458</v>
      </c>
      <c r="AR52" s="61"/>
      <c r="AS52" s="61">
        <v>3</v>
      </c>
      <c r="AT52" s="61"/>
      <c r="AU52" s="68">
        <v>8</v>
      </c>
      <c r="AV52" s="61" t="s">
        <v>458</v>
      </c>
      <c r="AW52" s="61"/>
      <c r="AX52" s="61">
        <v>3.5</v>
      </c>
      <c r="AY52" s="61"/>
      <c r="AZ52" s="61" t="s">
        <v>458</v>
      </c>
      <c r="BA52" s="61"/>
      <c r="BB52" s="80"/>
      <c r="BC52" s="61"/>
      <c r="BD52" s="61" t="s">
        <v>458</v>
      </c>
      <c r="BE52" s="61"/>
      <c r="BF52" s="77">
        <v>3.5</v>
      </c>
      <c r="BG52" s="61"/>
      <c r="BH52" s="61" t="s">
        <v>458</v>
      </c>
      <c r="BI52" s="61"/>
      <c r="BJ52" s="61">
        <v>3.5</v>
      </c>
      <c r="BK52" s="61"/>
      <c r="BL52" s="61" t="s">
        <v>458</v>
      </c>
      <c r="BM52" s="61"/>
      <c r="BN52" s="77">
        <v>4.5</v>
      </c>
      <c r="BO52" s="61">
        <v>0.5</v>
      </c>
      <c r="BP52" s="61" t="s">
        <v>458</v>
      </c>
      <c r="BQ52" s="61"/>
      <c r="BR52" s="61"/>
      <c r="BS52" s="61"/>
      <c r="BT52" s="68"/>
      <c r="BU52" s="61" t="s">
        <v>458</v>
      </c>
      <c r="BV52" s="61"/>
      <c r="BW52" s="61">
        <v>4.5</v>
      </c>
      <c r="BX52" s="61"/>
      <c r="BY52" s="61" t="s">
        <v>458</v>
      </c>
      <c r="BZ52" s="61"/>
      <c r="CA52" s="61">
        <v>4</v>
      </c>
      <c r="CB52" s="61"/>
      <c r="CC52" s="61" t="s">
        <v>458</v>
      </c>
      <c r="CD52" s="61"/>
      <c r="CE52" s="61"/>
      <c r="CF52" s="61"/>
      <c r="CG52" s="61" t="s">
        <v>458</v>
      </c>
      <c r="CH52" s="61"/>
      <c r="CI52" s="61">
        <v>3.5</v>
      </c>
      <c r="CJ52" s="61"/>
      <c r="CK52" s="61" t="s">
        <v>458</v>
      </c>
      <c r="CL52" s="61"/>
      <c r="CM52" s="86">
        <v>4.5</v>
      </c>
      <c r="CN52" s="61"/>
      <c r="CO52" s="61" t="s">
        <v>458</v>
      </c>
      <c r="CP52" s="61"/>
      <c r="CQ52" s="61">
        <v>1.5</v>
      </c>
      <c r="CR52" s="61"/>
      <c r="CS52" s="68">
        <v>8</v>
      </c>
      <c r="CT52" s="61" t="s">
        <v>458</v>
      </c>
      <c r="CU52" s="61"/>
      <c r="CV52" s="61"/>
      <c r="CW52" s="61"/>
      <c r="CX52" s="61" t="s">
        <v>458</v>
      </c>
      <c r="CY52" s="61"/>
      <c r="CZ52" s="61">
        <v>3.5</v>
      </c>
      <c r="DA52" s="61"/>
      <c r="DB52" s="61" t="s">
        <v>458</v>
      </c>
      <c r="DC52" s="61"/>
      <c r="DD52" s="86">
        <v>3.5</v>
      </c>
      <c r="DE52" s="61"/>
      <c r="DF52" s="61" t="s">
        <v>458</v>
      </c>
      <c r="DG52" s="61"/>
      <c r="DH52" s="61">
        <v>3</v>
      </c>
      <c r="DI52" s="61"/>
      <c r="DJ52" s="61" t="s">
        <v>458</v>
      </c>
      <c r="DK52" s="61"/>
      <c r="DL52" s="80">
        <v>3.5</v>
      </c>
      <c r="DM52" s="61"/>
      <c r="DN52" s="61" t="s">
        <v>458</v>
      </c>
      <c r="DO52" s="61"/>
      <c r="DP52" s="61">
        <v>4</v>
      </c>
      <c r="DQ52" s="61"/>
      <c r="DR52" s="68">
        <v>8</v>
      </c>
    </row>
    <row r="53" spans="1:122" x14ac:dyDescent="0.25">
      <c r="A53" s="59">
        <v>43</v>
      </c>
      <c r="B53" s="72" t="s">
        <v>118</v>
      </c>
      <c r="C53" s="73" t="s">
        <v>119</v>
      </c>
      <c r="D53" s="60">
        <f t="shared" si="6"/>
        <v>26</v>
      </c>
      <c r="E53" s="60">
        <f t="shared" si="7"/>
        <v>72</v>
      </c>
      <c r="F53" s="60">
        <f t="shared" si="0"/>
        <v>0.5</v>
      </c>
      <c r="G53" s="60">
        <f t="shared" si="1"/>
        <v>0</v>
      </c>
      <c r="H53" s="60">
        <f t="shared" si="2"/>
        <v>29.5</v>
      </c>
      <c r="I53" s="60">
        <f t="shared" si="8"/>
        <v>0</v>
      </c>
      <c r="J53" s="60">
        <f t="shared" si="3"/>
        <v>0</v>
      </c>
      <c r="K53" s="60">
        <f t="shared" si="9"/>
        <v>0</v>
      </c>
      <c r="L53" s="60">
        <f t="shared" si="4"/>
        <v>0</v>
      </c>
      <c r="M53" s="60">
        <f t="shared" si="5"/>
        <v>0</v>
      </c>
      <c r="N53" s="61" t="s">
        <v>458</v>
      </c>
      <c r="O53" s="72"/>
      <c r="P53" s="61">
        <v>1</v>
      </c>
      <c r="Q53" s="61"/>
      <c r="R53" s="61" t="s">
        <v>458</v>
      </c>
      <c r="S53" s="61"/>
      <c r="T53" s="61">
        <v>4</v>
      </c>
      <c r="U53" s="61"/>
      <c r="V53" s="68">
        <v>5.5</v>
      </c>
      <c r="W53" s="61" t="s">
        <v>458</v>
      </c>
      <c r="X53" s="61"/>
      <c r="Y53" s="61">
        <v>4.5</v>
      </c>
      <c r="Z53" s="61"/>
      <c r="AA53" s="61" t="s">
        <v>458</v>
      </c>
      <c r="AB53" s="61"/>
      <c r="AC53" s="61"/>
      <c r="AD53" s="61"/>
      <c r="AE53" s="61" t="s">
        <v>458</v>
      </c>
      <c r="AF53" s="61"/>
      <c r="AG53" s="61">
        <v>4.5</v>
      </c>
      <c r="AH53" s="61"/>
      <c r="AI53" s="61" t="s">
        <v>458</v>
      </c>
      <c r="AJ53" s="61"/>
      <c r="AK53" s="61">
        <v>3.5</v>
      </c>
      <c r="AL53" s="61"/>
      <c r="AM53" s="61" t="s">
        <v>458</v>
      </c>
      <c r="AN53" s="61"/>
      <c r="AO53" s="61">
        <v>1</v>
      </c>
      <c r="AP53" s="61"/>
      <c r="AQ53" s="61" t="s">
        <v>458</v>
      </c>
      <c r="AR53" s="61"/>
      <c r="AS53" s="61">
        <v>3</v>
      </c>
      <c r="AT53" s="61"/>
      <c r="AU53" s="68">
        <v>8</v>
      </c>
      <c r="AV53" s="61" t="s">
        <v>458</v>
      </c>
      <c r="AW53" s="61"/>
      <c r="AX53" s="61">
        <v>3.5</v>
      </c>
      <c r="AY53" s="61"/>
      <c r="AZ53" s="61" t="s">
        <v>458</v>
      </c>
      <c r="BA53" s="61"/>
      <c r="BB53" s="80"/>
      <c r="BC53" s="61"/>
      <c r="BD53" s="61" t="s">
        <v>458</v>
      </c>
      <c r="BE53" s="61"/>
      <c r="BF53" s="77">
        <v>3.5</v>
      </c>
      <c r="BG53" s="61"/>
      <c r="BH53" s="61" t="s">
        <v>458</v>
      </c>
      <c r="BI53" s="61"/>
      <c r="BJ53" s="61">
        <v>3.5</v>
      </c>
      <c r="BK53" s="61"/>
      <c r="BL53" s="61" t="s">
        <v>458</v>
      </c>
      <c r="BM53" s="61"/>
      <c r="BN53" s="77">
        <v>4.5</v>
      </c>
      <c r="BO53" s="61">
        <v>0.5</v>
      </c>
      <c r="BP53" s="61" t="s">
        <v>458</v>
      </c>
      <c r="BQ53" s="61"/>
      <c r="BR53" s="61"/>
      <c r="BS53" s="61"/>
      <c r="BT53" s="68"/>
      <c r="BU53" s="61" t="s">
        <v>458</v>
      </c>
      <c r="BV53" s="61"/>
      <c r="BW53" s="61">
        <v>4.5</v>
      </c>
      <c r="BX53" s="61"/>
      <c r="BY53" s="61" t="s">
        <v>458</v>
      </c>
      <c r="BZ53" s="61"/>
      <c r="CA53" s="61">
        <v>4</v>
      </c>
      <c r="CB53" s="61"/>
      <c r="CC53" s="61" t="s">
        <v>458</v>
      </c>
      <c r="CD53" s="61"/>
      <c r="CE53" s="61"/>
      <c r="CF53" s="61"/>
      <c r="CG53" s="61" t="s">
        <v>458</v>
      </c>
      <c r="CH53" s="61"/>
      <c r="CI53" s="61">
        <v>3.5</v>
      </c>
      <c r="CJ53" s="61"/>
      <c r="CK53" s="61" t="s">
        <v>458</v>
      </c>
      <c r="CL53" s="61"/>
      <c r="CM53" s="86">
        <v>4.5</v>
      </c>
      <c r="CN53" s="61"/>
      <c r="CO53" s="61" t="s">
        <v>458</v>
      </c>
      <c r="CP53" s="61"/>
      <c r="CQ53" s="61">
        <v>1.5</v>
      </c>
      <c r="CR53" s="61"/>
      <c r="CS53" s="68">
        <v>8</v>
      </c>
      <c r="CT53" s="61" t="s">
        <v>458</v>
      </c>
      <c r="CU53" s="61"/>
      <c r="CV53" s="61"/>
      <c r="CW53" s="61"/>
      <c r="CX53" s="61" t="s">
        <v>458</v>
      </c>
      <c r="CY53" s="61"/>
      <c r="CZ53" s="61">
        <v>3.5</v>
      </c>
      <c r="DA53" s="61"/>
      <c r="DB53" s="61" t="s">
        <v>458</v>
      </c>
      <c r="DC53" s="61"/>
      <c r="DD53" s="86">
        <v>3.5</v>
      </c>
      <c r="DE53" s="61"/>
      <c r="DF53" s="61" t="s">
        <v>458</v>
      </c>
      <c r="DG53" s="61"/>
      <c r="DH53" s="61">
        <v>3</v>
      </c>
      <c r="DI53" s="61"/>
      <c r="DJ53" s="61" t="s">
        <v>458</v>
      </c>
      <c r="DK53" s="61"/>
      <c r="DL53" s="80">
        <v>3.5</v>
      </c>
      <c r="DM53" s="61"/>
      <c r="DN53" s="61" t="s">
        <v>458</v>
      </c>
      <c r="DO53" s="61"/>
      <c r="DP53" s="61">
        <v>4</v>
      </c>
      <c r="DQ53" s="61"/>
      <c r="DR53" s="68">
        <v>8</v>
      </c>
    </row>
    <row r="54" spans="1:122" x14ac:dyDescent="0.25">
      <c r="A54" s="59">
        <v>44</v>
      </c>
      <c r="B54" s="72" t="s">
        <v>120</v>
      </c>
      <c r="C54" s="73" t="s">
        <v>121</v>
      </c>
      <c r="D54" s="60">
        <f t="shared" si="6"/>
        <v>26</v>
      </c>
      <c r="E54" s="60">
        <f t="shared" si="7"/>
        <v>65.5</v>
      </c>
      <c r="F54" s="60">
        <f t="shared" si="0"/>
        <v>0</v>
      </c>
      <c r="G54" s="60">
        <f t="shared" si="1"/>
        <v>0</v>
      </c>
      <c r="H54" s="60">
        <f t="shared" si="2"/>
        <v>0</v>
      </c>
      <c r="I54" s="60">
        <f t="shared" si="8"/>
        <v>0</v>
      </c>
      <c r="J54" s="60">
        <f t="shared" si="3"/>
        <v>0</v>
      </c>
      <c r="K54" s="60">
        <f t="shared" si="9"/>
        <v>0</v>
      </c>
      <c r="L54" s="60">
        <f t="shared" si="4"/>
        <v>0</v>
      </c>
      <c r="M54" s="60">
        <f t="shared" si="5"/>
        <v>0</v>
      </c>
      <c r="N54" s="61" t="s">
        <v>458</v>
      </c>
      <c r="O54" s="72"/>
      <c r="P54" s="61">
        <v>3.5</v>
      </c>
      <c r="Q54" s="61"/>
      <c r="R54" s="61" t="s">
        <v>458</v>
      </c>
      <c r="S54" s="61"/>
      <c r="T54" s="61">
        <v>3.5</v>
      </c>
      <c r="U54" s="61"/>
      <c r="V54" s="68"/>
      <c r="W54" s="61" t="s">
        <v>458</v>
      </c>
      <c r="X54" s="61"/>
      <c r="Y54" s="61">
        <v>4.5</v>
      </c>
      <c r="Z54" s="61"/>
      <c r="AA54" s="61" t="s">
        <v>458</v>
      </c>
      <c r="AB54" s="61"/>
      <c r="AC54" s="61"/>
      <c r="AD54" s="61"/>
      <c r="AE54" s="61" t="s">
        <v>458</v>
      </c>
      <c r="AF54" s="61"/>
      <c r="AG54" s="61">
        <v>4.5</v>
      </c>
      <c r="AH54" s="61"/>
      <c r="AI54" s="61" t="s">
        <v>458</v>
      </c>
      <c r="AJ54" s="61"/>
      <c r="AK54" s="61"/>
      <c r="AL54" s="61"/>
      <c r="AM54" s="61" t="s">
        <v>458</v>
      </c>
      <c r="AN54" s="61"/>
      <c r="AO54" s="61">
        <v>1</v>
      </c>
      <c r="AP54" s="61"/>
      <c r="AQ54" s="61" t="s">
        <v>458</v>
      </c>
      <c r="AR54" s="61"/>
      <c r="AS54" s="61">
        <v>3</v>
      </c>
      <c r="AT54" s="61"/>
      <c r="AU54" s="68"/>
      <c r="AV54" s="61" t="s">
        <v>458</v>
      </c>
      <c r="AW54" s="61"/>
      <c r="AX54" s="61">
        <v>3.5</v>
      </c>
      <c r="AY54" s="61"/>
      <c r="AZ54" s="61" t="s">
        <v>458</v>
      </c>
      <c r="BA54" s="61"/>
      <c r="BB54" s="80">
        <v>3.5</v>
      </c>
      <c r="BC54" s="61"/>
      <c r="BD54" s="61" t="s">
        <v>458</v>
      </c>
      <c r="BE54" s="61"/>
      <c r="BF54" s="77">
        <v>3.5</v>
      </c>
      <c r="BG54" s="61"/>
      <c r="BH54" s="61" t="s">
        <v>458</v>
      </c>
      <c r="BI54" s="61"/>
      <c r="BJ54" s="61"/>
      <c r="BK54" s="61"/>
      <c r="BL54" s="61" t="s">
        <v>458</v>
      </c>
      <c r="BM54" s="61"/>
      <c r="BN54" s="77">
        <v>4</v>
      </c>
      <c r="BO54" s="61"/>
      <c r="BP54" s="61" t="s">
        <v>458</v>
      </c>
      <c r="BQ54" s="61"/>
      <c r="BR54" s="61">
        <v>3</v>
      </c>
      <c r="BS54" s="61"/>
      <c r="BT54" s="68"/>
      <c r="BU54" s="61" t="s">
        <v>458</v>
      </c>
      <c r="BV54" s="61"/>
      <c r="BW54" s="61">
        <v>3.5</v>
      </c>
      <c r="BX54" s="61"/>
      <c r="BY54" s="61" t="s">
        <v>458</v>
      </c>
      <c r="BZ54" s="61"/>
      <c r="CA54" s="61"/>
      <c r="CB54" s="61"/>
      <c r="CC54" s="61" t="s">
        <v>458</v>
      </c>
      <c r="CD54" s="61"/>
      <c r="CE54" s="61"/>
      <c r="CF54" s="61"/>
      <c r="CG54" s="61" t="s">
        <v>458</v>
      </c>
      <c r="CH54" s="61"/>
      <c r="CI54" s="61">
        <v>3.5</v>
      </c>
      <c r="CJ54" s="61"/>
      <c r="CK54" s="61" t="s">
        <v>458</v>
      </c>
      <c r="CL54" s="61"/>
      <c r="CM54" s="86">
        <f>21-0.5-17</f>
        <v>3.5</v>
      </c>
      <c r="CN54" s="61"/>
      <c r="CO54" s="61" t="s">
        <v>458</v>
      </c>
      <c r="CP54" s="61"/>
      <c r="CQ54" s="61">
        <v>1.5</v>
      </c>
      <c r="CR54" s="61"/>
      <c r="CS54" s="68"/>
      <c r="CT54" s="61" t="s">
        <v>458</v>
      </c>
      <c r="CU54" s="61"/>
      <c r="CV54" s="61">
        <v>3.5</v>
      </c>
      <c r="CW54" s="61"/>
      <c r="CX54" s="61" t="s">
        <v>458</v>
      </c>
      <c r="CY54" s="61"/>
      <c r="CZ54" s="61">
        <v>2.5</v>
      </c>
      <c r="DA54" s="61"/>
      <c r="DB54" s="61" t="s">
        <v>458</v>
      </c>
      <c r="DC54" s="61"/>
      <c r="DD54" s="86"/>
      <c r="DE54" s="61"/>
      <c r="DF54" s="61" t="s">
        <v>458</v>
      </c>
      <c r="DG54" s="61"/>
      <c r="DH54" s="61">
        <v>3</v>
      </c>
      <c r="DI54" s="61"/>
      <c r="DJ54" s="61" t="s">
        <v>458</v>
      </c>
      <c r="DK54" s="61"/>
      <c r="DL54" s="80">
        <v>3.5</v>
      </c>
      <c r="DM54" s="61"/>
      <c r="DN54" s="61" t="s">
        <v>458</v>
      </c>
      <c r="DO54" s="61"/>
      <c r="DP54" s="61">
        <v>3.5</v>
      </c>
      <c r="DQ54" s="61"/>
      <c r="DR54" s="68"/>
    </row>
    <row r="55" spans="1:122" x14ac:dyDescent="0.25">
      <c r="A55" s="59">
        <v>45</v>
      </c>
      <c r="B55" s="72" t="s">
        <v>122</v>
      </c>
      <c r="C55" s="73" t="s">
        <v>123</v>
      </c>
      <c r="D55" s="60">
        <f t="shared" si="6"/>
        <v>25</v>
      </c>
      <c r="E55" s="60">
        <f t="shared" si="7"/>
        <v>64.5</v>
      </c>
      <c r="F55" s="60">
        <f t="shared" si="0"/>
        <v>0</v>
      </c>
      <c r="G55" s="60">
        <f t="shared" si="1"/>
        <v>0</v>
      </c>
      <c r="H55" s="60">
        <f t="shared" si="2"/>
        <v>5.5</v>
      </c>
      <c r="I55" s="60">
        <f t="shared" si="8"/>
        <v>0</v>
      </c>
      <c r="J55" s="60">
        <f t="shared" si="3"/>
        <v>1</v>
      </c>
      <c r="K55" s="60">
        <f t="shared" si="9"/>
        <v>0</v>
      </c>
      <c r="L55" s="60">
        <f t="shared" si="4"/>
        <v>0</v>
      </c>
      <c r="M55" s="60">
        <f t="shared" si="5"/>
        <v>0</v>
      </c>
      <c r="N55" s="61" t="s">
        <v>458</v>
      </c>
      <c r="O55" s="72"/>
      <c r="P55" s="61"/>
      <c r="Q55" s="61"/>
      <c r="R55" s="61" t="s">
        <v>458</v>
      </c>
      <c r="S55" s="61"/>
      <c r="T55" s="61">
        <v>4</v>
      </c>
      <c r="U55" s="61"/>
      <c r="V55" s="68">
        <v>5.5</v>
      </c>
      <c r="W55" s="61" t="s">
        <v>458</v>
      </c>
      <c r="X55" s="61"/>
      <c r="Y55" s="61">
        <v>4.5</v>
      </c>
      <c r="Z55" s="61"/>
      <c r="AA55" s="61" t="s">
        <v>13</v>
      </c>
      <c r="AB55" s="61"/>
      <c r="AC55" s="61"/>
      <c r="AD55" s="61"/>
      <c r="AE55" s="61" t="s">
        <v>458</v>
      </c>
      <c r="AF55" s="61"/>
      <c r="AG55" s="61">
        <v>3.5</v>
      </c>
      <c r="AH55" s="61"/>
      <c r="AI55" s="61" t="s">
        <v>458</v>
      </c>
      <c r="AJ55" s="61"/>
      <c r="AK55" s="61"/>
      <c r="AL55" s="61"/>
      <c r="AM55" s="61" t="s">
        <v>458</v>
      </c>
      <c r="AN55" s="61"/>
      <c r="AO55" s="61">
        <v>1</v>
      </c>
      <c r="AP55" s="61"/>
      <c r="AQ55" s="61" t="s">
        <v>458</v>
      </c>
      <c r="AR55" s="61"/>
      <c r="AS55" s="61">
        <v>3</v>
      </c>
      <c r="AT55" s="61"/>
      <c r="AU55" s="68"/>
      <c r="AV55" s="61" t="s">
        <v>458</v>
      </c>
      <c r="AW55" s="61"/>
      <c r="AX55" s="61">
        <v>3.5</v>
      </c>
      <c r="AY55" s="61"/>
      <c r="AZ55" s="61" t="s">
        <v>458</v>
      </c>
      <c r="BA55" s="61"/>
      <c r="BB55" s="80">
        <v>3.5</v>
      </c>
      <c r="BC55" s="61"/>
      <c r="BD55" s="61" t="s">
        <v>458</v>
      </c>
      <c r="BE55" s="61"/>
      <c r="BF55" s="77">
        <v>3</v>
      </c>
      <c r="BG55" s="61"/>
      <c r="BH55" s="61" t="s">
        <v>458</v>
      </c>
      <c r="BI55" s="61"/>
      <c r="BJ55" s="61">
        <v>3</v>
      </c>
      <c r="BK55" s="61"/>
      <c r="BL55" s="61" t="s">
        <v>458</v>
      </c>
      <c r="BM55" s="61"/>
      <c r="BN55" s="77">
        <v>3</v>
      </c>
      <c r="BO55" s="61"/>
      <c r="BP55" s="61" t="s">
        <v>458</v>
      </c>
      <c r="BQ55" s="61"/>
      <c r="BR55" s="61"/>
      <c r="BS55" s="61"/>
      <c r="BT55" s="68"/>
      <c r="BU55" s="61" t="s">
        <v>458</v>
      </c>
      <c r="BV55" s="61"/>
      <c r="BW55" s="61"/>
      <c r="BX55" s="61"/>
      <c r="BY55" s="61" t="s">
        <v>458</v>
      </c>
      <c r="BZ55" s="61"/>
      <c r="CA55" s="61">
        <v>3.5</v>
      </c>
      <c r="CB55" s="61"/>
      <c r="CC55" s="61" t="s">
        <v>458</v>
      </c>
      <c r="CD55" s="61"/>
      <c r="CE55" s="61">
        <v>3.5</v>
      </c>
      <c r="CF55" s="61"/>
      <c r="CG55" s="61" t="s">
        <v>458</v>
      </c>
      <c r="CH55" s="61"/>
      <c r="CI55" s="61">
        <v>3.5</v>
      </c>
      <c r="CJ55" s="61"/>
      <c r="CK55" s="61" t="s">
        <v>458</v>
      </c>
      <c r="CL55" s="61"/>
      <c r="CM55" s="86">
        <f>20.5-0.5-17</f>
        <v>3</v>
      </c>
      <c r="CN55" s="61"/>
      <c r="CO55" s="61" t="s">
        <v>458</v>
      </c>
      <c r="CP55" s="61"/>
      <c r="CQ55" s="61">
        <v>1.5</v>
      </c>
      <c r="CR55" s="61"/>
      <c r="CS55" s="68"/>
      <c r="CT55" s="61" t="s">
        <v>458</v>
      </c>
      <c r="CU55" s="61"/>
      <c r="CV55" s="61">
        <v>4</v>
      </c>
      <c r="CW55" s="61"/>
      <c r="CX55" s="61" t="s">
        <v>458</v>
      </c>
      <c r="CY55" s="61"/>
      <c r="CZ55" s="61">
        <v>3</v>
      </c>
      <c r="DA55" s="61"/>
      <c r="DB55" s="61" t="s">
        <v>458</v>
      </c>
      <c r="DC55" s="61"/>
      <c r="DD55" s="86">
        <v>3.5</v>
      </c>
      <c r="DE55" s="61"/>
      <c r="DF55" s="61" t="s">
        <v>458</v>
      </c>
      <c r="DG55" s="61"/>
      <c r="DH55" s="61"/>
      <c r="DI55" s="61"/>
      <c r="DJ55" s="61" t="s">
        <v>458</v>
      </c>
      <c r="DK55" s="61"/>
      <c r="DL55" s="80">
        <v>3.5</v>
      </c>
      <c r="DM55" s="61"/>
      <c r="DN55" s="61" t="s">
        <v>458</v>
      </c>
      <c r="DO55" s="61"/>
      <c r="DP55" s="61">
        <v>3.5</v>
      </c>
      <c r="DQ55" s="61"/>
      <c r="DR55" s="68"/>
    </row>
    <row r="56" spans="1:122" x14ac:dyDescent="0.25">
      <c r="A56" s="59">
        <v>46</v>
      </c>
      <c r="B56" s="72" t="s">
        <v>124</v>
      </c>
      <c r="C56" s="73" t="s">
        <v>125</v>
      </c>
      <c r="D56" s="60">
        <f t="shared" si="6"/>
        <v>25</v>
      </c>
      <c r="E56" s="60">
        <f t="shared" si="7"/>
        <v>5</v>
      </c>
      <c r="F56" s="60">
        <f t="shared" si="0"/>
        <v>0</v>
      </c>
      <c r="G56" s="60">
        <f t="shared" si="1"/>
        <v>0</v>
      </c>
      <c r="H56" s="60">
        <f t="shared" si="2"/>
        <v>0</v>
      </c>
      <c r="I56" s="60">
        <f t="shared" si="8"/>
        <v>0</v>
      </c>
      <c r="J56" s="60">
        <f t="shared" si="3"/>
        <v>0</v>
      </c>
      <c r="K56" s="60">
        <f t="shared" si="9"/>
        <v>0</v>
      </c>
      <c r="L56" s="60">
        <f t="shared" si="4"/>
        <v>0</v>
      </c>
      <c r="M56" s="60">
        <f t="shared" si="5"/>
        <v>0</v>
      </c>
      <c r="N56" s="61" t="s">
        <v>458</v>
      </c>
      <c r="O56" s="72"/>
      <c r="P56" s="61">
        <v>1</v>
      </c>
      <c r="Q56" s="61"/>
      <c r="R56" s="61" t="s">
        <v>458</v>
      </c>
      <c r="S56" s="61"/>
      <c r="T56" s="61">
        <v>4</v>
      </c>
      <c r="U56" s="61"/>
      <c r="V56" s="68"/>
      <c r="W56" s="61" t="s">
        <v>458</v>
      </c>
      <c r="X56" s="61"/>
      <c r="Y56" s="61"/>
      <c r="Z56" s="61"/>
      <c r="AA56" s="61" t="s">
        <v>458</v>
      </c>
      <c r="AB56" s="61"/>
      <c r="AC56" s="61" t="s">
        <v>480</v>
      </c>
      <c r="AD56" s="61"/>
      <c r="AE56" s="61" t="s">
        <v>458</v>
      </c>
      <c r="AF56" s="61"/>
      <c r="AG56" s="61"/>
      <c r="AH56" s="61"/>
      <c r="AI56" s="61" t="s">
        <v>458</v>
      </c>
      <c r="AJ56" s="61"/>
      <c r="AK56" s="61"/>
      <c r="AL56" s="61"/>
      <c r="AM56" s="61" t="s">
        <v>458</v>
      </c>
      <c r="AN56" s="61"/>
      <c r="AO56" s="61"/>
      <c r="AP56" s="61"/>
      <c r="AQ56" s="61" t="s">
        <v>458</v>
      </c>
      <c r="AR56" s="61"/>
      <c r="AS56" s="61"/>
      <c r="AT56" s="61"/>
      <c r="AU56" s="68"/>
      <c r="AV56" s="61" t="s">
        <v>458</v>
      </c>
      <c r="AW56" s="61"/>
      <c r="AX56" s="61"/>
      <c r="AY56" s="61"/>
      <c r="AZ56" s="61" t="s">
        <v>458</v>
      </c>
      <c r="BA56" s="61"/>
      <c r="BB56" s="80"/>
      <c r="BC56" s="61"/>
      <c r="BD56" s="61"/>
      <c r="BE56" s="61"/>
      <c r="BF56" s="77"/>
      <c r="BG56" s="61"/>
      <c r="BH56" s="61" t="s">
        <v>458</v>
      </c>
      <c r="BI56" s="61"/>
      <c r="BJ56" s="61"/>
      <c r="BK56" s="61"/>
      <c r="BL56" s="61" t="s">
        <v>458</v>
      </c>
      <c r="BM56" s="61"/>
      <c r="BN56" s="77"/>
      <c r="BO56" s="61"/>
      <c r="BP56" s="61" t="s">
        <v>458</v>
      </c>
      <c r="BQ56" s="61"/>
      <c r="BR56" s="61"/>
      <c r="BS56" s="61"/>
      <c r="BT56" s="68"/>
      <c r="BU56" s="61" t="s">
        <v>458</v>
      </c>
      <c r="BV56" s="61"/>
      <c r="BW56" s="61"/>
      <c r="BX56" s="61"/>
      <c r="BY56" s="61" t="s">
        <v>458</v>
      </c>
      <c r="BZ56" s="61"/>
      <c r="CA56" s="61"/>
      <c r="CB56" s="61"/>
      <c r="CC56" s="61" t="s">
        <v>458</v>
      </c>
      <c r="CD56" s="61"/>
      <c r="CE56" s="61"/>
      <c r="CF56" s="61"/>
      <c r="CG56" s="61" t="s">
        <v>458</v>
      </c>
      <c r="CH56" s="61"/>
      <c r="CI56" s="61"/>
      <c r="CJ56" s="61"/>
      <c r="CK56" s="61" t="s">
        <v>458</v>
      </c>
      <c r="CL56" s="61"/>
      <c r="CM56" s="86"/>
      <c r="CN56" s="61"/>
      <c r="CO56" s="61" t="s">
        <v>458</v>
      </c>
      <c r="CP56" s="61"/>
      <c r="CQ56" s="61"/>
      <c r="CR56" s="61"/>
      <c r="CS56" s="68"/>
      <c r="CT56" s="61" t="s">
        <v>458</v>
      </c>
      <c r="CU56" s="61"/>
      <c r="CV56" s="61"/>
      <c r="CW56" s="61"/>
      <c r="CX56" s="61" t="s">
        <v>458</v>
      </c>
      <c r="CY56" s="61"/>
      <c r="CZ56" s="61"/>
      <c r="DA56" s="61"/>
      <c r="DB56" s="61" t="s">
        <v>458</v>
      </c>
      <c r="DC56" s="61"/>
      <c r="DD56" s="86"/>
      <c r="DE56" s="61"/>
      <c r="DF56" s="61" t="s">
        <v>458</v>
      </c>
      <c r="DG56" s="61"/>
      <c r="DH56" s="61"/>
      <c r="DI56" s="61"/>
      <c r="DJ56" s="61" t="s">
        <v>458</v>
      </c>
      <c r="DK56" s="61"/>
      <c r="DL56" s="80"/>
      <c r="DM56" s="61"/>
      <c r="DN56" s="61" t="s">
        <v>458</v>
      </c>
      <c r="DO56" s="61"/>
      <c r="DP56" s="61"/>
      <c r="DQ56" s="61"/>
      <c r="DR56" s="68"/>
    </row>
    <row r="57" spans="1:122" x14ac:dyDescent="0.25">
      <c r="A57" s="59">
        <v>47</v>
      </c>
      <c r="B57" s="72" t="s">
        <v>126</v>
      </c>
      <c r="C57" s="73" t="s">
        <v>127</v>
      </c>
      <c r="D57" s="60">
        <f t="shared" si="6"/>
        <v>25</v>
      </c>
      <c r="E57" s="60">
        <f t="shared" si="7"/>
        <v>83.5</v>
      </c>
      <c r="F57" s="60">
        <f t="shared" si="0"/>
        <v>3</v>
      </c>
      <c r="G57" s="60">
        <f t="shared" si="1"/>
        <v>2</v>
      </c>
      <c r="H57" s="60">
        <f t="shared" si="2"/>
        <v>17</v>
      </c>
      <c r="I57" s="60">
        <f t="shared" si="8"/>
        <v>0</v>
      </c>
      <c r="J57" s="60">
        <f t="shared" si="3"/>
        <v>1</v>
      </c>
      <c r="K57" s="60">
        <f t="shared" si="9"/>
        <v>0</v>
      </c>
      <c r="L57" s="60">
        <f t="shared" si="4"/>
        <v>0</v>
      </c>
      <c r="M57" s="60">
        <f t="shared" si="5"/>
        <v>0</v>
      </c>
      <c r="N57" s="61" t="s">
        <v>458</v>
      </c>
      <c r="O57" s="72"/>
      <c r="P57" s="61">
        <v>4.5</v>
      </c>
      <c r="Q57" s="61"/>
      <c r="R57" s="61" t="s">
        <v>458</v>
      </c>
      <c r="S57" s="61"/>
      <c r="T57" s="61">
        <v>3.5</v>
      </c>
      <c r="U57" s="61"/>
      <c r="V57" s="68"/>
      <c r="W57" s="61" t="s">
        <v>458</v>
      </c>
      <c r="X57" s="61"/>
      <c r="Y57" s="61">
        <v>3.5</v>
      </c>
      <c r="Z57" s="61"/>
      <c r="AA57" s="61" t="s">
        <v>458</v>
      </c>
      <c r="AB57" s="61"/>
      <c r="AC57" s="61">
        <v>4.5</v>
      </c>
      <c r="AD57" s="61"/>
      <c r="AE57" s="61" t="s">
        <v>458</v>
      </c>
      <c r="AF57" s="61"/>
      <c r="AG57" s="61">
        <v>4.5</v>
      </c>
      <c r="AH57" s="61"/>
      <c r="AI57" s="61" t="s">
        <v>458</v>
      </c>
      <c r="AJ57" s="61"/>
      <c r="AK57" s="61">
        <v>1</v>
      </c>
      <c r="AL57" s="61"/>
      <c r="AM57" s="61" t="s">
        <v>458</v>
      </c>
      <c r="AN57" s="61"/>
      <c r="AO57" s="61">
        <v>1</v>
      </c>
      <c r="AP57" s="61"/>
      <c r="AQ57" s="61" t="s">
        <v>458</v>
      </c>
      <c r="AR57" s="61"/>
      <c r="AS57" s="61">
        <v>3.5</v>
      </c>
      <c r="AT57" s="61"/>
      <c r="AU57" s="68">
        <v>9</v>
      </c>
      <c r="AV57" s="61" t="s">
        <v>458</v>
      </c>
      <c r="AW57" s="61"/>
      <c r="AX57" s="61">
        <v>3.5</v>
      </c>
      <c r="AY57" s="61"/>
      <c r="AZ57" s="61" t="s">
        <v>458</v>
      </c>
      <c r="BA57" s="61"/>
      <c r="BB57" s="80">
        <v>4.5</v>
      </c>
      <c r="BC57" s="61">
        <v>2</v>
      </c>
      <c r="BD57" s="61" t="s">
        <v>458</v>
      </c>
      <c r="BE57" s="61"/>
      <c r="BF57" s="77">
        <v>4.5</v>
      </c>
      <c r="BG57" s="61"/>
      <c r="BH57" s="61" t="s">
        <v>458</v>
      </c>
      <c r="BI57" s="61"/>
      <c r="BJ57" s="61">
        <v>4.5</v>
      </c>
      <c r="BK57" s="61">
        <v>0.5</v>
      </c>
      <c r="BL57" s="61" t="s">
        <v>458</v>
      </c>
      <c r="BM57" s="61"/>
      <c r="BN57" s="77">
        <v>4.5</v>
      </c>
      <c r="BO57" s="61">
        <v>0.5</v>
      </c>
      <c r="BP57" s="61" t="s">
        <v>458</v>
      </c>
      <c r="BQ57" s="61">
        <v>2</v>
      </c>
      <c r="BR57" s="61"/>
      <c r="BS57" s="61"/>
      <c r="BT57" s="68"/>
      <c r="BU57" s="61" t="s">
        <v>458</v>
      </c>
      <c r="BV57" s="61"/>
      <c r="BW57" s="61">
        <v>4.5</v>
      </c>
      <c r="BX57" s="61"/>
      <c r="BY57" s="61" t="s">
        <v>13</v>
      </c>
      <c r="BZ57" s="61"/>
      <c r="CA57" s="61"/>
      <c r="CB57" s="61"/>
      <c r="CC57" s="61" t="s">
        <v>458</v>
      </c>
      <c r="CD57" s="61"/>
      <c r="CE57" s="61">
        <v>4</v>
      </c>
      <c r="CF57" s="61"/>
      <c r="CG57" s="61" t="s">
        <v>458</v>
      </c>
      <c r="CH57" s="61"/>
      <c r="CI57" s="61">
        <v>3.5</v>
      </c>
      <c r="CJ57" s="61"/>
      <c r="CK57" s="61" t="s">
        <v>458</v>
      </c>
      <c r="CL57" s="61"/>
      <c r="CM57" s="86">
        <v>4.5</v>
      </c>
      <c r="CN57" s="61"/>
      <c r="CO57" s="61" t="s">
        <v>458</v>
      </c>
      <c r="CP57" s="61"/>
      <c r="CQ57" s="61">
        <v>1.5</v>
      </c>
      <c r="CR57" s="61"/>
      <c r="CS57" s="68"/>
      <c r="CT57" s="61" t="s">
        <v>458</v>
      </c>
      <c r="CU57" s="61"/>
      <c r="CV57" s="61">
        <v>3.5</v>
      </c>
      <c r="CW57" s="61"/>
      <c r="CX57" s="61" t="s">
        <v>458</v>
      </c>
      <c r="CY57" s="61"/>
      <c r="CZ57" s="61">
        <v>3</v>
      </c>
      <c r="DA57" s="61"/>
      <c r="DB57" s="61" t="s">
        <v>458</v>
      </c>
      <c r="DC57" s="61"/>
      <c r="DD57" s="86">
        <v>3.5</v>
      </c>
      <c r="DE57" s="61"/>
      <c r="DF57" s="61" t="s">
        <v>458</v>
      </c>
      <c r="DG57" s="61"/>
      <c r="DH57" s="61">
        <v>3</v>
      </c>
      <c r="DI57" s="61"/>
      <c r="DJ57" s="61" t="s">
        <v>458</v>
      </c>
      <c r="DK57" s="61"/>
      <c r="DL57" s="80">
        <v>4</v>
      </c>
      <c r="DM57" s="61"/>
      <c r="DN57" s="61" t="s">
        <v>458</v>
      </c>
      <c r="DO57" s="61"/>
      <c r="DP57" s="61">
        <v>1</v>
      </c>
      <c r="DQ57" s="61"/>
      <c r="DR57" s="68">
        <v>8</v>
      </c>
    </row>
    <row r="58" spans="1:122" s="93" customFormat="1" x14ac:dyDescent="0.25">
      <c r="A58" s="59">
        <v>48</v>
      </c>
      <c r="B58" s="72" t="s">
        <v>476</v>
      </c>
      <c r="C58" s="73" t="s">
        <v>477</v>
      </c>
      <c r="D58" s="60">
        <f t="shared" si="6"/>
        <v>17</v>
      </c>
      <c r="E58" s="60">
        <f t="shared" si="7"/>
        <v>50.5</v>
      </c>
      <c r="F58" s="60">
        <f>IF(C58="",0,SUMIFS($N58:$DR58,$N$7:$DR$7,$I$3,$N$6:$DR$6,1))</f>
        <v>1</v>
      </c>
      <c r="G58" s="60">
        <f t="shared" ref="G58" si="12">IF(C58="",0,SUMIFS(N58:DR58,$N$7:$DR$7,"ĐT/VS"))</f>
        <v>0</v>
      </c>
      <c r="H58" s="60">
        <f t="shared" si="2"/>
        <v>17</v>
      </c>
      <c r="I58" s="60">
        <f>COUNTIF($N58:$DR58,$R$2)</f>
        <v>0</v>
      </c>
      <c r="J58" s="60">
        <f>COUNTIF($N58:$DR58,$O$3)</f>
        <v>0</v>
      </c>
      <c r="K58" s="60">
        <f>COUNTIF($N58:$DQ58,$R$1)</f>
        <v>0</v>
      </c>
      <c r="L58" s="60">
        <f>COUNTIF($N58:$DQ58,$O$2)</f>
        <v>0</v>
      </c>
      <c r="M58" s="60">
        <f>COUNTIF($N58:$DQ58,$O$1)</f>
        <v>0</v>
      </c>
      <c r="N58" s="72" t="s">
        <v>458</v>
      </c>
      <c r="O58" s="72"/>
      <c r="P58" s="72">
        <v>3.5</v>
      </c>
      <c r="Q58" s="72"/>
      <c r="R58" s="72" t="s">
        <v>458</v>
      </c>
      <c r="S58" s="72"/>
      <c r="T58" s="72">
        <v>3.5</v>
      </c>
      <c r="U58" s="72"/>
      <c r="V58" s="112"/>
      <c r="W58" s="72" t="s">
        <v>458</v>
      </c>
      <c r="X58" s="72"/>
      <c r="Y58" s="72">
        <v>4.5</v>
      </c>
      <c r="Z58" s="72"/>
      <c r="AA58" s="72" t="s">
        <v>458</v>
      </c>
      <c r="AB58" s="72"/>
      <c r="AC58" s="72"/>
      <c r="AD58" s="72"/>
      <c r="AE58" s="72" t="s">
        <v>458</v>
      </c>
      <c r="AF58" s="72"/>
      <c r="AG58" s="72">
        <v>4.5</v>
      </c>
      <c r="AH58" s="72"/>
      <c r="AI58" s="72" t="s">
        <v>458</v>
      </c>
      <c r="AJ58" s="72"/>
      <c r="AK58" s="72"/>
      <c r="AL58" s="72"/>
      <c r="AM58" s="72" t="s">
        <v>458</v>
      </c>
      <c r="AN58" s="72"/>
      <c r="AO58" s="72"/>
      <c r="AP58" s="72"/>
      <c r="AQ58" s="72" t="s">
        <v>458</v>
      </c>
      <c r="AR58" s="72"/>
      <c r="AS58" s="72">
        <v>3.5</v>
      </c>
      <c r="AT58" s="72"/>
      <c r="AU58" s="68">
        <v>9</v>
      </c>
      <c r="AV58" s="61" t="s">
        <v>458</v>
      </c>
      <c r="AW58" s="72"/>
      <c r="AX58" s="72">
        <v>3.5</v>
      </c>
      <c r="AY58" s="72"/>
      <c r="AZ58" s="72" t="s">
        <v>458</v>
      </c>
      <c r="BA58" s="72"/>
      <c r="BB58" s="113">
        <v>3.5</v>
      </c>
      <c r="BC58" s="72"/>
      <c r="BD58" s="72" t="s">
        <v>458</v>
      </c>
      <c r="BE58" s="72"/>
      <c r="BF58" s="117">
        <v>3.5</v>
      </c>
      <c r="BG58" s="72"/>
      <c r="BH58" s="72" t="s">
        <v>458</v>
      </c>
      <c r="BI58" s="72"/>
      <c r="BJ58" s="72">
        <v>3.5</v>
      </c>
      <c r="BK58" s="72"/>
      <c r="BL58" s="72" t="s">
        <v>458</v>
      </c>
      <c r="BM58" s="72"/>
      <c r="BN58" s="117">
        <v>4.5</v>
      </c>
      <c r="BO58" s="72">
        <v>0.5</v>
      </c>
      <c r="BP58" s="72" t="s">
        <v>458</v>
      </c>
      <c r="BQ58" s="72"/>
      <c r="BR58" s="72">
        <v>4.5</v>
      </c>
      <c r="BS58" s="72">
        <v>0.5</v>
      </c>
      <c r="BT58" s="68">
        <v>8</v>
      </c>
      <c r="BU58" s="72" t="s">
        <v>458</v>
      </c>
      <c r="BV58" s="72"/>
      <c r="BW58" s="72">
        <v>4.5</v>
      </c>
      <c r="BX58" s="72"/>
      <c r="BY58" s="72" t="s">
        <v>458</v>
      </c>
      <c r="BZ58" s="72"/>
      <c r="CA58" s="72">
        <v>3.5</v>
      </c>
      <c r="CB58" s="72"/>
      <c r="CC58" s="72" t="s">
        <v>458</v>
      </c>
      <c r="CD58" s="72"/>
      <c r="CE58" s="72"/>
      <c r="CF58" s="72"/>
      <c r="CG58" s="72"/>
      <c r="CH58" s="72"/>
      <c r="CI58" s="72"/>
      <c r="CJ58" s="72"/>
      <c r="CK58" s="72"/>
      <c r="CL58" s="72"/>
      <c r="CM58" s="114"/>
      <c r="CN58" s="72"/>
      <c r="CO58" s="72"/>
      <c r="CP58" s="72"/>
      <c r="CQ58" s="72"/>
      <c r="CR58" s="72"/>
      <c r="CS58" s="68"/>
      <c r="CT58" s="72"/>
      <c r="CU58" s="72"/>
      <c r="CV58" s="72"/>
      <c r="CW58" s="72"/>
      <c r="CX58" s="72"/>
      <c r="CY58" s="72"/>
      <c r="CZ58" s="72"/>
      <c r="DA58" s="72"/>
      <c r="DB58" s="61"/>
      <c r="DC58" s="72"/>
      <c r="DD58" s="114"/>
      <c r="DE58" s="72"/>
      <c r="DF58" s="72"/>
      <c r="DG58" s="72"/>
      <c r="DH58" s="72"/>
      <c r="DI58" s="72"/>
      <c r="DJ58" s="72"/>
      <c r="DK58" s="72"/>
      <c r="DL58" s="113"/>
      <c r="DM58" s="72"/>
      <c r="DN58" s="72"/>
      <c r="DO58" s="72"/>
      <c r="DP58" s="72"/>
      <c r="DQ58" s="72"/>
      <c r="DR58" s="68"/>
    </row>
    <row r="59" spans="1:122" x14ac:dyDescent="0.25">
      <c r="A59" s="59">
        <v>49</v>
      </c>
      <c r="B59" s="72" t="s">
        <v>128</v>
      </c>
      <c r="C59" s="73" t="s">
        <v>129</v>
      </c>
      <c r="D59" s="60">
        <f t="shared" si="6"/>
        <v>22</v>
      </c>
      <c r="E59" s="60">
        <f t="shared" si="7"/>
        <v>49.5</v>
      </c>
      <c r="F59" s="60">
        <f t="shared" si="0"/>
        <v>0</v>
      </c>
      <c r="G59" s="60">
        <f t="shared" si="1"/>
        <v>2</v>
      </c>
      <c r="H59" s="60">
        <f t="shared" si="2"/>
        <v>0</v>
      </c>
      <c r="I59" s="60">
        <f t="shared" si="8"/>
        <v>0</v>
      </c>
      <c r="J59" s="60">
        <f t="shared" si="3"/>
        <v>1</v>
      </c>
      <c r="K59" s="60">
        <f t="shared" si="9"/>
        <v>0</v>
      </c>
      <c r="L59" s="60">
        <f t="shared" si="4"/>
        <v>0</v>
      </c>
      <c r="M59" s="60">
        <f t="shared" si="5"/>
        <v>0</v>
      </c>
      <c r="N59" s="61"/>
      <c r="O59" s="72"/>
      <c r="P59" s="61"/>
      <c r="Q59" s="61"/>
      <c r="R59" s="61"/>
      <c r="S59" s="61"/>
      <c r="T59" s="61"/>
      <c r="U59" s="61"/>
      <c r="V59" s="68"/>
      <c r="W59" s="61" t="s">
        <v>458</v>
      </c>
      <c r="X59" s="61"/>
      <c r="Y59" s="61">
        <v>4</v>
      </c>
      <c r="Z59" s="61"/>
      <c r="AA59" s="61" t="s">
        <v>458</v>
      </c>
      <c r="AB59" s="61">
        <v>2</v>
      </c>
      <c r="AC59" s="61"/>
      <c r="AD59" s="61"/>
      <c r="AE59" s="61" t="s">
        <v>458</v>
      </c>
      <c r="AF59" s="61"/>
      <c r="AG59" s="61">
        <v>3</v>
      </c>
      <c r="AH59" s="61"/>
      <c r="AI59" s="61" t="s">
        <v>458</v>
      </c>
      <c r="AJ59" s="61"/>
      <c r="AK59" s="61">
        <v>3</v>
      </c>
      <c r="AL59" s="61"/>
      <c r="AM59" s="61" t="s">
        <v>458</v>
      </c>
      <c r="AN59" s="61"/>
      <c r="AO59" s="61">
        <v>1</v>
      </c>
      <c r="AP59" s="61"/>
      <c r="AQ59" s="61" t="s">
        <v>458</v>
      </c>
      <c r="AR59" s="61"/>
      <c r="AS59" s="61">
        <v>3</v>
      </c>
      <c r="AT59" s="61"/>
      <c r="AU59" s="68"/>
      <c r="AV59" s="61" t="s">
        <v>458</v>
      </c>
      <c r="AW59" s="61"/>
      <c r="AX59" s="61">
        <v>3</v>
      </c>
      <c r="AY59" s="61"/>
      <c r="AZ59" s="61" t="s">
        <v>458</v>
      </c>
      <c r="BA59" s="61"/>
      <c r="BB59" s="80">
        <v>1</v>
      </c>
      <c r="BC59" s="61"/>
      <c r="BD59" s="61"/>
      <c r="BE59" s="61"/>
      <c r="BF59" s="77"/>
      <c r="BG59" s="61"/>
      <c r="BH59" s="61" t="s">
        <v>458</v>
      </c>
      <c r="BI59" s="61"/>
      <c r="BJ59" s="61">
        <v>3</v>
      </c>
      <c r="BK59" s="61"/>
      <c r="BL59" s="61" t="s">
        <v>458</v>
      </c>
      <c r="BM59" s="61"/>
      <c r="BN59" s="77">
        <v>3</v>
      </c>
      <c r="BO59" s="61"/>
      <c r="BP59" s="61" t="s">
        <v>458</v>
      </c>
      <c r="BQ59" s="61"/>
      <c r="BR59" s="61"/>
      <c r="BS59" s="61"/>
      <c r="BT59" s="68"/>
      <c r="BU59" s="61" t="s">
        <v>458</v>
      </c>
      <c r="BV59" s="61"/>
      <c r="BW59" s="61">
        <v>3</v>
      </c>
      <c r="BX59" s="61"/>
      <c r="BY59" s="61" t="s">
        <v>458</v>
      </c>
      <c r="BZ59" s="61"/>
      <c r="CA59" s="61">
        <v>3</v>
      </c>
      <c r="CB59" s="61"/>
      <c r="CC59" s="61" t="s">
        <v>458</v>
      </c>
      <c r="CD59" s="61"/>
      <c r="CE59" s="61">
        <v>3</v>
      </c>
      <c r="CF59" s="61"/>
      <c r="CG59" s="61" t="s">
        <v>458</v>
      </c>
      <c r="CH59" s="61"/>
      <c r="CI59" s="61">
        <f>20.5-0.5-17</f>
        <v>3</v>
      </c>
      <c r="CJ59" s="61"/>
      <c r="CK59" s="61" t="s">
        <v>458</v>
      </c>
      <c r="CL59" s="61"/>
      <c r="CM59" s="86"/>
      <c r="CN59" s="61"/>
      <c r="CO59" s="61" t="s">
        <v>458</v>
      </c>
      <c r="CP59" s="61"/>
      <c r="CQ59" s="61">
        <v>1.5</v>
      </c>
      <c r="CR59" s="61"/>
      <c r="CS59" s="68"/>
      <c r="CT59" s="61" t="s">
        <v>458</v>
      </c>
      <c r="CU59" s="61"/>
      <c r="CV59" s="61">
        <v>3</v>
      </c>
      <c r="CW59" s="61"/>
      <c r="CX59" s="61" t="s">
        <v>458</v>
      </c>
      <c r="CY59" s="61"/>
      <c r="CZ59" s="61">
        <v>3</v>
      </c>
      <c r="DA59" s="61"/>
      <c r="DB59" s="61" t="s">
        <v>458</v>
      </c>
      <c r="DC59" s="61"/>
      <c r="DD59" s="86">
        <f>20.5-0.5-17</f>
        <v>3</v>
      </c>
      <c r="DE59" s="61"/>
      <c r="DF59" s="61" t="s">
        <v>458</v>
      </c>
      <c r="DG59" s="61"/>
      <c r="DH59" s="61"/>
      <c r="DI59" s="61"/>
      <c r="DJ59" s="61" t="s">
        <v>458</v>
      </c>
      <c r="DK59" s="61"/>
      <c r="DL59" s="80">
        <v>3</v>
      </c>
      <c r="DM59" s="61"/>
      <c r="DN59" s="61" t="s">
        <v>13</v>
      </c>
      <c r="DO59" s="61"/>
      <c r="DP59" s="61"/>
      <c r="DQ59" s="61"/>
      <c r="DR59" s="68"/>
    </row>
    <row r="60" spans="1:122" x14ac:dyDescent="0.25">
      <c r="A60" s="59">
        <v>50</v>
      </c>
      <c r="B60" s="72" t="s">
        <v>130</v>
      </c>
      <c r="C60" s="73" t="s">
        <v>131</v>
      </c>
      <c r="D60" s="60">
        <f t="shared" si="6"/>
        <v>23</v>
      </c>
      <c r="E60" s="60">
        <f t="shared" si="7"/>
        <v>87.5</v>
      </c>
      <c r="F60" s="60">
        <f t="shared" si="0"/>
        <v>3.5</v>
      </c>
      <c r="G60" s="60">
        <f t="shared" si="1"/>
        <v>0</v>
      </c>
      <c r="H60" s="60">
        <f t="shared" si="2"/>
        <v>32</v>
      </c>
      <c r="I60" s="60">
        <f t="shared" si="8"/>
        <v>0</v>
      </c>
      <c r="J60" s="60">
        <f t="shared" si="3"/>
        <v>1</v>
      </c>
      <c r="K60" s="60">
        <f t="shared" si="9"/>
        <v>0</v>
      </c>
      <c r="L60" s="60">
        <f t="shared" si="4"/>
        <v>0</v>
      </c>
      <c r="M60" s="60">
        <f t="shared" si="5"/>
        <v>0</v>
      </c>
      <c r="N60" s="61"/>
      <c r="O60" s="72"/>
      <c r="P60" s="61"/>
      <c r="Q60" s="61"/>
      <c r="R60" s="61"/>
      <c r="S60" s="61"/>
      <c r="T60" s="61"/>
      <c r="U60" s="61"/>
      <c r="V60" s="68"/>
      <c r="W60" s="61" t="s">
        <v>458</v>
      </c>
      <c r="X60" s="61"/>
      <c r="Y60" s="61">
        <v>4.5</v>
      </c>
      <c r="Z60" s="61"/>
      <c r="AA60" s="61" t="s">
        <v>458</v>
      </c>
      <c r="AB60" s="61"/>
      <c r="AC60" s="61">
        <v>4.5</v>
      </c>
      <c r="AD60" s="61"/>
      <c r="AE60" s="61" t="s">
        <v>458</v>
      </c>
      <c r="AF60" s="61"/>
      <c r="AG60" s="61">
        <v>4.5</v>
      </c>
      <c r="AH60" s="61"/>
      <c r="AI60" s="61" t="s">
        <v>458</v>
      </c>
      <c r="AJ60" s="61"/>
      <c r="AK60" s="61">
        <v>4</v>
      </c>
      <c r="AL60" s="61"/>
      <c r="AM60" s="61" t="s">
        <v>458</v>
      </c>
      <c r="AN60" s="61"/>
      <c r="AO60" s="61">
        <v>1</v>
      </c>
      <c r="AP60" s="61"/>
      <c r="AQ60" s="61" t="s">
        <v>458</v>
      </c>
      <c r="AR60" s="61"/>
      <c r="AS60" s="61">
        <v>3.5</v>
      </c>
      <c r="AT60" s="61"/>
      <c r="AU60" s="68">
        <v>8</v>
      </c>
      <c r="AV60" s="61" t="s">
        <v>458</v>
      </c>
      <c r="AW60" s="61"/>
      <c r="AX60" s="61">
        <v>3.5</v>
      </c>
      <c r="AY60" s="61"/>
      <c r="AZ60" s="61" t="s">
        <v>458</v>
      </c>
      <c r="BA60" s="61"/>
      <c r="BB60" s="80">
        <v>4.5</v>
      </c>
      <c r="BC60" s="61">
        <v>2</v>
      </c>
      <c r="BD60" s="61" t="s">
        <v>458</v>
      </c>
      <c r="BE60" s="61"/>
      <c r="BF60" s="77">
        <v>4.5</v>
      </c>
      <c r="BG60" s="61"/>
      <c r="BH60" s="61" t="s">
        <v>458</v>
      </c>
      <c r="BI60" s="61"/>
      <c r="BJ60" s="61">
        <v>4.5</v>
      </c>
      <c r="BK60" s="61">
        <v>0.5</v>
      </c>
      <c r="BL60" s="61" t="s">
        <v>458</v>
      </c>
      <c r="BM60" s="61"/>
      <c r="BN60" s="77">
        <v>4.5</v>
      </c>
      <c r="BO60" s="61">
        <v>0.5</v>
      </c>
      <c r="BP60" s="61" t="s">
        <v>458</v>
      </c>
      <c r="BQ60" s="61"/>
      <c r="BR60" s="61">
        <v>4.5</v>
      </c>
      <c r="BS60" s="61">
        <v>0.5</v>
      </c>
      <c r="BT60" s="68">
        <v>8</v>
      </c>
      <c r="BU60" s="61" t="s">
        <v>458</v>
      </c>
      <c r="BV60" s="61"/>
      <c r="BW60" s="61">
        <v>4.5</v>
      </c>
      <c r="BX60" s="61"/>
      <c r="BY60" s="61" t="s">
        <v>458</v>
      </c>
      <c r="BZ60" s="61"/>
      <c r="CA60" s="61">
        <v>3.5</v>
      </c>
      <c r="CB60" s="61"/>
      <c r="CC60" s="61" t="s">
        <v>458</v>
      </c>
      <c r="CD60" s="61"/>
      <c r="CE60" s="61">
        <f>21.5-17-0.5</f>
        <v>4</v>
      </c>
      <c r="CF60" s="61"/>
      <c r="CG60" s="61" t="s">
        <v>13</v>
      </c>
      <c r="CH60" s="61"/>
      <c r="CI60" s="61"/>
      <c r="CJ60" s="61"/>
      <c r="CK60" s="61" t="s">
        <v>458</v>
      </c>
      <c r="CL60" s="61"/>
      <c r="CM60" s="86">
        <v>4.5</v>
      </c>
      <c r="CN60" s="61"/>
      <c r="CO60" s="61" t="s">
        <v>458</v>
      </c>
      <c r="CP60" s="61"/>
      <c r="CQ60" s="61">
        <v>1.5</v>
      </c>
      <c r="CR60" s="61"/>
      <c r="CS60" s="68">
        <v>8</v>
      </c>
      <c r="CT60" s="61" t="s">
        <v>458</v>
      </c>
      <c r="CU60" s="61"/>
      <c r="CV60" s="61">
        <v>4</v>
      </c>
      <c r="CW60" s="61"/>
      <c r="CX60" s="61" t="s">
        <v>458</v>
      </c>
      <c r="CY60" s="61"/>
      <c r="CZ60" s="61">
        <v>3</v>
      </c>
      <c r="DA60" s="61"/>
      <c r="DB60" s="61" t="s">
        <v>458</v>
      </c>
      <c r="DC60" s="61"/>
      <c r="DD60" s="86">
        <v>3.5</v>
      </c>
      <c r="DE60" s="61"/>
      <c r="DF60" s="61" t="s">
        <v>458</v>
      </c>
      <c r="DG60" s="61"/>
      <c r="DH60" s="61">
        <v>3</v>
      </c>
      <c r="DI60" s="61"/>
      <c r="DJ60" s="61" t="s">
        <v>458</v>
      </c>
      <c r="DK60" s="61"/>
      <c r="DL60" s="80">
        <v>4</v>
      </c>
      <c r="DM60" s="61"/>
      <c r="DN60" s="61" t="s">
        <v>458</v>
      </c>
      <c r="DO60" s="61"/>
      <c r="DP60" s="61">
        <v>4</v>
      </c>
      <c r="DQ60" s="61"/>
      <c r="DR60" s="68">
        <v>8</v>
      </c>
    </row>
    <row r="61" spans="1:122" x14ac:dyDescent="0.25">
      <c r="A61" s="59">
        <v>51</v>
      </c>
      <c r="B61" s="72" t="s">
        <v>132</v>
      </c>
      <c r="C61" s="73" t="s">
        <v>133</v>
      </c>
      <c r="D61" s="60">
        <f t="shared" si="6"/>
        <v>24</v>
      </c>
      <c r="E61" s="60">
        <f t="shared" si="7"/>
        <v>82.5</v>
      </c>
      <c r="F61" s="60">
        <f t="shared" si="0"/>
        <v>2.5</v>
      </c>
      <c r="G61" s="60">
        <f t="shared" si="1"/>
        <v>2</v>
      </c>
      <c r="H61" s="60">
        <f t="shared" si="2"/>
        <v>32</v>
      </c>
      <c r="I61" s="60">
        <f t="shared" si="8"/>
        <v>0</v>
      </c>
      <c r="J61" s="60">
        <f t="shared" si="3"/>
        <v>0</v>
      </c>
      <c r="K61" s="60">
        <f t="shared" si="9"/>
        <v>0</v>
      </c>
      <c r="L61" s="60">
        <f t="shared" si="4"/>
        <v>0</v>
      </c>
      <c r="M61" s="60">
        <f t="shared" si="5"/>
        <v>0</v>
      </c>
      <c r="N61" s="61"/>
      <c r="O61" s="72"/>
      <c r="P61" s="61"/>
      <c r="Q61" s="61"/>
      <c r="R61" s="61"/>
      <c r="S61" s="61"/>
      <c r="T61" s="61"/>
      <c r="U61" s="61"/>
      <c r="V61" s="68"/>
      <c r="W61" s="61" t="s">
        <v>458</v>
      </c>
      <c r="X61" s="61"/>
      <c r="Y61" s="61">
        <v>4.5</v>
      </c>
      <c r="Z61" s="61"/>
      <c r="AA61" s="61" t="s">
        <v>458</v>
      </c>
      <c r="AB61" s="61"/>
      <c r="AC61" s="61">
        <v>4.5</v>
      </c>
      <c r="AD61" s="61"/>
      <c r="AE61" s="61" t="s">
        <v>458</v>
      </c>
      <c r="AF61" s="61"/>
      <c r="AG61" s="61">
        <v>4.5</v>
      </c>
      <c r="AH61" s="61"/>
      <c r="AI61" s="61" t="s">
        <v>458</v>
      </c>
      <c r="AJ61" s="61"/>
      <c r="AK61" s="61">
        <v>4</v>
      </c>
      <c r="AL61" s="61"/>
      <c r="AM61" s="61" t="s">
        <v>458</v>
      </c>
      <c r="AN61" s="61"/>
      <c r="AO61" s="61">
        <v>1.5</v>
      </c>
      <c r="AP61" s="61"/>
      <c r="AQ61" s="61" t="s">
        <v>458</v>
      </c>
      <c r="AR61" s="61"/>
      <c r="AS61" s="61">
        <v>3.5</v>
      </c>
      <c r="AT61" s="61"/>
      <c r="AU61" s="68">
        <v>8</v>
      </c>
      <c r="AV61" s="61" t="s">
        <v>458</v>
      </c>
      <c r="AW61" s="61"/>
      <c r="AX61" s="61">
        <v>3.5</v>
      </c>
      <c r="AY61" s="61"/>
      <c r="AZ61" s="61" t="s">
        <v>458</v>
      </c>
      <c r="BA61" s="61"/>
      <c r="BB61" s="80">
        <v>4.5</v>
      </c>
      <c r="BC61" s="61">
        <v>2</v>
      </c>
      <c r="BD61" s="61" t="s">
        <v>458</v>
      </c>
      <c r="BE61" s="61"/>
      <c r="BF61" s="77">
        <v>4.5</v>
      </c>
      <c r="BG61" s="61"/>
      <c r="BH61" s="61" t="s">
        <v>458</v>
      </c>
      <c r="BI61" s="61"/>
      <c r="BJ61" s="61">
        <v>4.5</v>
      </c>
      <c r="BK61" s="61">
        <v>0.5</v>
      </c>
      <c r="BL61" s="61" t="s">
        <v>458</v>
      </c>
      <c r="BM61" s="61"/>
      <c r="BN61" s="77"/>
      <c r="BO61" s="61"/>
      <c r="BP61" s="61" t="s">
        <v>458</v>
      </c>
      <c r="BQ61" s="61"/>
      <c r="BR61" s="61"/>
      <c r="BS61" s="61"/>
      <c r="BT61" s="68">
        <v>8</v>
      </c>
      <c r="BU61" s="61" t="s">
        <v>458</v>
      </c>
      <c r="BV61" s="61"/>
      <c r="BW61" s="61">
        <v>4.5</v>
      </c>
      <c r="BX61" s="61"/>
      <c r="BY61" s="61" t="s">
        <v>458</v>
      </c>
      <c r="BZ61" s="61"/>
      <c r="CA61" s="61">
        <v>3.5</v>
      </c>
      <c r="CB61" s="61"/>
      <c r="CC61" s="61" t="s">
        <v>458</v>
      </c>
      <c r="CD61" s="61"/>
      <c r="CE61" s="61">
        <v>3.5</v>
      </c>
      <c r="CF61" s="61"/>
      <c r="CG61" s="61" t="s">
        <v>458</v>
      </c>
      <c r="CH61" s="61"/>
      <c r="CI61" s="61">
        <f>21-0.5-17</f>
        <v>3.5</v>
      </c>
      <c r="CJ61" s="61"/>
      <c r="CK61" s="61" t="s">
        <v>458</v>
      </c>
      <c r="CL61" s="61"/>
      <c r="CM61" s="86">
        <v>4.5</v>
      </c>
      <c r="CN61" s="61"/>
      <c r="CO61" s="61" t="s">
        <v>458</v>
      </c>
      <c r="CP61" s="61"/>
      <c r="CQ61" s="61">
        <v>1.5</v>
      </c>
      <c r="CR61" s="61"/>
      <c r="CS61" s="68">
        <v>8</v>
      </c>
      <c r="CT61" s="61" t="s">
        <v>458</v>
      </c>
      <c r="CU61" s="61"/>
      <c r="CV61" s="61">
        <v>3.5</v>
      </c>
      <c r="CW61" s="61"/>
      <c r="CX61" s="61" t="s">
        <v>458</v>
      </c>
      <c r="CY61" s="61"/>
      <c r="CZ61" s="61">
        <v>3</v>
      </c>
      <c r="DA61" s="61"/>
      <c r="DB61" s="61" t="s">
        <v>458</v>
      </c>
      <c r="DC61" s="61">
        <v>2</v>
      </c>
      <c r="DD61" s="86">
        <v>4</v>
      </c>
      <c r="DE61" s="61"/>
      <c r="DF61" s="61" t="s">
        <v>458</v>
      </c>
      <c r="DG61" s="61"/>
      <c r="DH61" s="61">
        <v>3</v>
      </c>
      <c r="DI61" s="61"/>
      <c r="DJ61" s="61" t="s">
        <v>458</v>
      </c>
      <c r="DK61" s="61"/>
      <c r="DL61" s="80">
        <v>4</v>
      </c>
      <c r="DM61" s="61"/>
      <c r="DN61" s="61" t="s">
        <v>458</v>
      </c>
      <c r="DO61" s="61"/>
      <c r="DP61" s="61">
        <v>4.5</v>
      </c>
      <c r="DQ61" s="61"/>
      <c r="DR61" s="68">
        <v>8</v>
      </c>
    </row>
    <row r="62" spans="1:122" x14ac:dyDescent="0.25">
      <c r="A62" s="59">
        <v>52</v>
      </c>
      <c r="B62" s="72" t="s">
        <v>134</v>
      </c>
      <c r="C62" s="73" t="s">
        <v>135</v>
      </c>
      <c r="D62" s="60">
        <f t="shared" si="6"/>
        <v>22</v>
      </c>
      <c r="E62" s="60">
        <f t="shared" si="7"/>
        <v>80</v>
      </c>
      <c r="F62" s="60">
        <f t="shared" si="0"/>
        <v>3</v>
      </c>
      <c r="G62" s="60">
        <f t="shared" si="1"/>
        <v>0</v>
      </c>
      <c r="H62" s="60">
        <f t="shared" si="2"/>
        <v>25.5</v>
      </c>
      <c r="I62" s="60">
        <f t="shared" si="8"/>
        <v>0</v>
      </c>
      <c r="J62" s="60">
        <f t="shared" si="3"/>
        <v>0</v>
      </c>
      <c r="K62" s="60">
        <f t="shared" si="9"/>
        <v>0</v>
      </c>
      <c r="L62" s="60">
        <f t="shared" si="4"/>
        <v>0</v>
      </c>
      <c r="M62" s="60">
        <f t="shared" si="5"/>
        <v>0</v>
      </c>
      <c r="N62" s="61"/>
      <c r="O62" s="72"/>
      <c r="P62" s="61"/>
      <c r="Q62" s="61"/>
      <c r="R62" s="61"/>
      <c r="S62" s="61"/>
      <c r="T62" s="61"/>
      <c r="U62" s="61"/>
      <c r="V62" s="68"/>
      <c r="W62" s="61"/>
      <c r="X62" s="61"/>
      <c r="Y62" s="61"/>
      <c r="Z62" s="61"/>
      <c r="AA62" s="61"/>
      <c r="AB62" s="61"/>
      <c r="AC62" s="61"/>
      <c r="AD62" s="61"/>
      <c r="AE62" s="61" t="s">
        <v>458</v>
      </c>
      <c r="AF62" s="61"/>
      <c r="AG62" s="61">
        <v>4.5</v>
      </c>
      <c r="AH62" s="61"/>
      <c r="AI62" s="61" t="s">
        <v>458</v>
      </c>
      <c r="AJ62" s="61"/>
      <c r="AK62" s="61">
        <v>4</v>
      </c>
      <c r="AL62" s="61"/>
      <c r="AM62" s="61" t="s">
        <v>458</v>
      </c>
      <c r="AN62" s="61"/>
      <c r="AO62" s="61">
        <v>1.5</v>
      </c>
      <c r="AP62" s="61"/>
      <c r="AQ62" s="61" t="s">
        <v>458</v>
      </c>
      <c r="AR62" s="61"/>
      <c r="AS62" s="61">
        <v>3.5</v>
      </c>
      <c r="AT62" s="61"/>
      <c r="AU62" s="68">
        <v>9.5</v>
      </c>
      <c r="AV62" s="61" t="s">
        <v>458</v>
      </c>
      <c r="AW62" s="61"/>
      <c r="AX62" s="61">
        <v>3.5</v>
      </c>
      <c r="AY62" s="61"/>
      <c r="AZ62" s="61" t="s">
        <v>458</v>
      </c>
      <c r="BA62" s="61"/>
      <c r="BB62" s="80">
        <v>4.5</v>
      </c>
      <c r="BC62" s="61">
        <v>2</v>
      </c>
      <c r="BD62" s="61" t="s">
        <v>458</v>
      </c>
      <c r="BE62" s="61"/>
      <c r="BF62" s="77">
        <v>4.5</v>
      </c>
      <c r="BG62" s="61"/>
      <c r="BH62" s="61" t="s">
        <v>458</v>
      </c>
      <c r="BI62" s="61"/>
      <c r="BJ62" s="61"/>
      <c r="BK62" s="61"/>
      <c r="BL62" s="61" t="s">
        <v>458</v>
      </c>
      <c r="BM62" s="61"/>
      <c r="BN62" s="77">
        <v>4.5</v>
      </c>
      <c r="BO62" s="61">
        <v>0.5</v>
      </c>
      <c r="BP62" s="61" t="s">
        <v>458</v>
      </c>
      <c r="BQ62" s="61"/>
      <c r="BR62" s="61">
        <v>4.5</v>
      </c>
      <c r="BS62" s="61">
        <v>0.5</v>
      </c>
      <c r="BT62" s="68">
        <v>8</v>
      </c>
      <c r="BU62" s="61" t="s">
        <v>458</v>
      </c>
      <c r="BV62" s="61"/>
      <c r="BW62" s="61">
        <v>4.5</v>
      </c>
      <c r="BX62" s="61"/>
      <c r="BY62" s="61" t="s">
        <v>458</v>
      </c>
      <c r="BZ62" s="61"/>
      <c r="CA62" s="61">
        <v>3.5</v>
      </c>
      <c r="CB62" s="61"/>
      <c r="CC62" s="61" t="s">
        <v>458</v>
      </c>
      <c r="CD62" s="61"/>
      <c r="CE62" s="61">
        <v>4</v>
      </c>
      <c r="CF62" s="61"/>
      <c r="CG62" s="61" t="s">
        <v>458</v>
      </c>
      <c r="CH62" s="61"/>
      <c r="CI62" s="61">
        <v>4</v>
      </c>
      <c r="CJ62" s="61"/>
      <c r="CK62" s="61" t="s">
        <v>458</v>
      </c>
      <c r="CL62" s="61"/>
      <c r="CM62" s="86">
        <v>4.5</v>
      </c>
      <c r="CN62" s="61"/>
      <c r="CO62" s="61" t="s">
        <v>458</v>
      </c>
      <c r="CP62" s="61"/>
      <c r="CQ62" s="61">
        <v>1.5</v>
      </c>
      <c r="CR62" s="61"/>
      <c r="CS62" s="68"/>
      <c r="CT62" s="61" t="s">
        <v>458</v>
      </c>
      <c r="CU62" s="61"/>
      <c r="CV62" s="61">
        <v>4</v>
      </c>
      <c r="CW62" s="61"/>
      <c r="CX62" s="61" t="s">
        <v>458</v>
      </c>
      <c r="CY62" s="61"/>
      <c r="CZ62" s="61">
        <v>3.5</v>
      </c>
      <c r="DA62" s="61"/>
      <c r="DB62" s="61" t="s">
        <v>458</v>
      </c>
      <c r="DC62" s="61"/>
      <c r="DD62" s="86">
        <v>4</v>
      </c>
      <c r="DE62" s="61"/>
      <c r="DF62" s="61" t="s">
        <v>458</v>
      </c>
      <c r="DG62" s="61"/>
      <c r="DH62" s="61">
        <v>3</v>
      </c>
      <c r="DI62" s="61"/>
      <c r="DJ62" s="61" t="s">
        <v>458</v>
      </c>
      <c r="DK62" s="61"/>
      <c r="DL62" s="80">
        <v>4</v>
      </c>
      <c r="DM62" s="61"/>
      <c r="DN62" s="61" t="s">
        <v>458</v>
      </c>
      <c r="DO62" s="61"/>
      <c r="DP62" s="61">
        <v>4.5</v>
      </c>
      <c r="DQ62" s="61"/>
      <c r="DR62" s="68">
        <v>8</v>
      </c>
    </row>
    <row r="63" spans="1:122" x14ac:dyDescent="0.25">
      <c r="A63" s="59">
        <v>53</v>
      </c>
      <c r="B63" s="72" t="s">
        <v>156</v>
      </c>
      <c r="C63" s="73" t="s">
        <v>157</v>
      </c>
      <c r="D63" s="60">
        <f t="shared" si="6"/>
        <v>21</v>
      </c>
      <c r="E63" s="60">
        <f t="shared" si="7"/>
        <v>78.5</v>
      </c>
      <c r="F63" s="60">
        <f t="shared" ref="F63:F74" si="13">IF(C63="",0,SUMIFS($N63:$DR63,$N$7:$DR$7,$I$3,$N$6:$DR$6,1))</f>
        <v>3.5</v>
      </c>
      <c r="G63" s="60">
        <f t="shared" ref="G63:G74" si="14">IF(C63="",0,SUMIFS(N63:DR63,$N$7:$DR$7,"ĐT/VS"))</f>
        <v>0</v>
      </c>
      <c r="H63" s="60">
        <f t="shared" si="2"/>
        <v>35.5</v>
      </c>
      <c r="I63" s="60">
        <f t="shared" ref="I63:I74" si="15">COUNTIF($N63:$DR63,$R$2)</f>
        <v>0</v>
      </c>
      <c r="J63" s="60">
        <f t="shared" ref="J63:J74" si="16">COUNTIF($N63:$DR63,$O$3)</f>
        <v>0</v>
      </c>
      <c r="K63" s="60">
        <f t="shared" ref="K63:K74" si="17">COUNTIF($N63:$DQ63,$R$1)</f>
        <v>0</v>
      </c>
      <c r="L63" s="60">
        <f t="shared" ref="L63:L74" si="18">COUNTIF($N63:$DQ63,$O$2)</f>
        <v>0</v>
      </c>
      <c r="M63" s="60">
        <f t="shared" ref="M63:M74" si="19">COUNTIF($N63:$DQ63,$O$1)</f>
        <v>0</v>
      </c>
      <c r="N63" s="61"/>
      <c r="O63" s="72"/>
      <c r="P63" s="61"/>
      <c r="Q63" s="61"/>
      <c r="R63" s="61"/>
      <c r="S63" s="61"/>
      <c r="T63" s="61"/>
      <c r="U63" s="61"/>
      <c r="V63" s="68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 t="s">
        <v>458</v>
      </c>
      <c r="AJ63" s="61"/>
      <c r="AK63" s="61">
        <v>4</v>
      </c>
      <c r="AL63" s="61"/>
      <c r="AM63" s="61" t="s">
        <v>458</v>
      </c>
      <c r="AN63" s="61"/>
      <c r="AO63" s="61">
        <v>3.5</v>
      </c>
      <c r="AP63" s="61"/>
      <c r="AQ63" s="61" t="s">
        <v>458</v>
      </c>
      <c r="AR63" s="61"/>
      <c r="AS63" s="61">
        <v>4</v>
      </c>
      <c r="AT63" s="61"/>
      <c r="AU63" s="68">
        <v>9.5</v>
      </c>
      <c r="AV63" s="61" t="s">
        <v>458</v>
      </c>
      <c r="AW63" s="61"/>
      <c r="AX63" s="61">
        <v>4.5</v>
      </c>
      <c r="AY63" s="61"/>
      <c r="AZ63" s="61" t="s">
        <v>458</v>
      </c>
      <c r="BA63" s="61"/>
      <c r="BB63" s="80">
        <v>4.5</v>
      </c>
      <c r="BC63" s="61">
        <v>2</v>
      </c>
      <c r="BD63" s="61" t="s">
        <v>458</v>
      </c>
      <c r="BE63" s="61"/>
      <c r="BF63" s="77">
        <v>4.5</v>
      </c>
      <c r="BG63" s="61"/>
      <c r="BH63" s="61" t="s">
        <v>458</v>
      </c>
      <c r="BI63" s="61"/>
      <c r="BJ63" s="61">
        <v>4.5</v>
      </c>
      <c r="BK63" s="61">
        <v>0.5</v>
      </c>
      <c r="BL63" s="61" t="s">
        <v>458</v>
      </c>
      <c r="BM63" s="61"/>
      <c r="BN63" s="77">
        <v>4.5</v>
      </c>
      <c r="BO63" s="61">
        <v>0.5</v>
      </c>
      <c r="BP63" s="61" t="s">
        <v>458</v>
      </c>
      <c r="BQ63" s="61"/>
      <c r="BR63" s="61">
        <v>4.5</v>
      </c>
      <c r="BS63" s="61">
        <v>0.5</v>
      </c>
      <c r="BT63" s="68">
        <v>10</v>
      </c>
      <c r="BU63" s="61" t="s">
        <v>458</v>
      </c>
      <c r="BV63" s="61"/>
      <c r="BW63" s="61">
        <v>4.5</v>
      </c>
      <c r="BX63" s="61"/>
      <c r="BY63" s="61" t="s">
        <v>458</v>
      </c>
      <c r="BZ63" s="61"/>
      <c r="CA63" s="61">
        <v>3.5</v>
      </c>
      <c r="CB63" s="61"/>
      <c r="CC63" s="61" t="s">
        <v>458</v>
      </c>
      <c r="CD63" s="61"/>
      <c r="CE63" s="61">
        <v>4</v>
      </c>
      <c r="CF63" s="61"/>
      <c r="CG63" s="61" t="s">
        <v>458</v>
      </c>
      <c r="CH63" s="61"/>
      <c r="CI63" s="61">
        <v>3.5</v>
      </c>
      <c r="CJ63" s="61"/>
      <c r="CK63" s="61" t="s">
        <v>458</v>
      </c>
      <c r="CL63" s="61"/>
      <c r="CM63" s="86">
        <v>4.5</v>
      </c>
      <c r="CN63" s="61"/>
      <c r="CO63" s="61" t="s">
        <v>458</v>
      </c>
      <c r="CP63" s="61"/>
      <c r="CQ63" s="61">
        <v>1.5</v>
      </c>
      <c r="CR63" s="61"/>
      <c r="CS63" s="68">
        <v>8</v>
      </c>
      <c r="CT63" s="61" t="s">
        <v>458</v>
      </c>
      <c r="CU63" s="61"/>
      <c r="CV63" s="61">
        <v>3.5</v>
      </c>
      <c r="CW63" s="61"/>
      <c r="CX63" s="61" t="s">
        <v>458</v>
      </c>
      <c r="CY63" s="61"/>
      <c r="CZ63" s="61"/>
      <c r="DA63" s="61"/>
      <c r="DB63" s="61" t="s">
        <v>458</v>
      </c>
      <c r="DC63" s="61"/>
      <c r="DD63" s="86">
        <v>3.5</v>
      </c>
      <c r="DE63" s="61"/>
      <c r="DF63" s="61" t="s">
        <v>458</v>
      </c>
      <c r="DG63" s="61"/>
      <c r="DH63" s="61">
        <v>3</v>
      </c>
      <c r="DI63" s="61"/>
      <c r="DJ63" s="61" t="s">
        <v>458</v>
      </c>
      <c r="DK63" s="61"/>
      <c r="DL63" s="80">
        <v>4</v>
      </c>
      <c r="DM63" s="61"/>
      <c r="DN63" s="61" t="s">
        <v>458</v>
      </c>
      <c r="DO63" s="61"/>
      <c r="DP63" s="61">
        <v>4.5</v>
      </c>
      <c r="DQ63" s="61"/>
      <c r="DR63" s="68">
        <v>8</v>
      </c>
    </row>
    <row r="64" spans="1:122" x14ac:dyDescent="0.25">
      <c r="A64" s="59">
        <v>54</v>
      </c>
      <c r="B64" s="72" t="s">
        <v>152</v>
      </c>
      <c r="C64" s="73" t="s">
        <v>153</v>
      </c>
      <c r="D64" s="60">
        <f t="shared" si="6"/>
        <v>20</v>
      </c>
      <c r="E64" s="60">
        <f t="shared" si="7"/>
        <v>71.5</v>
      </c>
      <c r="F64" s="60">
        <f t="shared" si="13"/>
        <v>2</v>
      </c>
      <c r="G64" s="60">
        <f t="shared" si="14"/>
        <v>1.5</v>
      </c>
      <c r="H64" s="60">
        <f t="shared" si="2"/>
        <v>33.5</v>
      </c>
      <c r="I64" s="60">
        <f t="shared" si="15"/>
        <v>0</v>
      </c>
      <c r="J64" s="60">
        <f t="shared" si="16"/>
        <v>0</v>
      </c>
      <c r="K64" s="60">
        <f t="shared" si="17"/>
        <v>0</v>
      </c>
      <c r="L64" s="60">
        <f t="shared" si="18"/>
        <v>0</v>
      </c>
      <c r="M64" s="60">
        <f t="shared" si="19"/>
        <v>0</v>
      </c>
      <c r="N64" s="61"/>
      <c r="O64" s="72"/>
      <c r="P64" s="61"/>
      <c r="Q64" s="61"/>
      <c r="R64" s="61"/>
      <c r="S64" s="61"/>
      <c r="T64" s="61"/>
      <c r="U64" s="61"/>
      <c r="V64" s="68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 t="s">
        <v>458</v>
      </c>
      <c r="AJ64" s="61"/>
      <c r="AK64" s="61">
        <v>4</v>
      </c>
      <c r="AL64" s="61"/>
      <c r="AM64" s="61" t="s">
        <v>458</v>
      </c>
      <c r="AN64" s="61"/>
      <c r="AO64" s="61">
        <v>3.5</v>
      </c>
      <c r="AP64" s="61"/>
      <c r="AQ64" s="61" t="s">
        <v>458</v>
      </c>
      <c r="AR64" s="61"/>
      <c r="AS64" s="61">
        <v>4</v>
      </c>
      <c r="AT64" s="61"/>
      <c r="AU64" s="68">
        <v>9.5</v>
      </c>
      <c r="AV64" s="61"/>
      <c r="AW64" s="61"/>
      <c r="AX64" s="61"/>
      <c r="AY64" s="61"/>
      <c r="AZ64" s="74" t="s">
        <v>458</v>
      </c>
      <c r="BA64" s="74"/>
      <c r="BB64" s="82">
        <v>3.5</v>
      </c>
      <c r="BC64" s="74"/>
      <c r="BD64" s="74" t="s">
        <v>458</v>
      </c>
      <c r="BE64" s="74"/>
      <c r="BF64" s="118">
        <v>4.5</v>
      </c>
      <c r="BG64" s="74">
        <v>1</v>
      </c>
      <c r="BH64" s="61" t="s">
        <v>458</v>
      </c>
      <c r="BI64" s="61"/>
      <c r="BJ64" s="61"/>
      <c r="BK64" s="61"/>
      <c r="BL64" s="61" t="s">
        <v>458</v>
      </c>
      <c r="BM64" s="61"/>
      <c r="BN64" s="77">
        <v>4.5</v>
      </c>
      <c r="BO64" s="61">
        <v>0.5</v>
      </c>
      <c r="BP64" s="61" t="s">
        <v>458</v>
      </c>
      <c r="BQ64" s="61"/>
      <c r="BR64" s="61">
        <v>4.5</v>
      </c>
      <c r="BS64" s="61">
        <v>0.5</v>
      </c>
      <c r="BT64" s="68">
        <v>8</v>
      </c>
      <c r="BU64" s="61" t="s">
        <v>458</v>
      </c>
      <c r="BV64" s="61"/>
      <c r="BW64" s="61">
        <v>4.5</v>
      </c>
      <c r="BX64" s="61"/>
      <c r="BY64" s="61" t="s">
        <v>458</v>
      </c>
      <c r="BZ64" s="61"/>
      <c r="CA64" s="61">
        <v>3.5</v>
      </c>
      <c r="CB64" s="61"/>
      <c r="CC64" s="61" t="s">
        <v>458</v>
      </c>
      <c r="CD64" s="61"/>
      <c r="CE64" s="61">
        <v>4</v>
      </c>
      <c r="CF64" s="61"/>
      <c r="CG64" s="61" t="s">
        <v>458</v>
      </c>
      <c r="CH64" s="61"/>
      <c r="CI64" s="61">
        <v>4</v>
      </c>
      <c r="CJ64" s="61"/>
      <c r="CK64" s="61" t="s">
        <v>458</v>
      </c>
      <c r="CL64" s="61"/>
      <c r="CM64" s="86">
        <v>4.5</v>
      </c>
      <c r="CN64" s="61"/>
      <c r="CO64" s="61" t="s">
        <v>458</v>
      </c>
      <c r="CP64" s="61"/>
      <c r="CQ64" s="61">
        <v>1.5</v>
      </c>
      <c r="CR64" s="61"/>
      <c r="CS64" s="68">
        <v>8</v>
      </c>
      <c r="CT64" s="61" t="s">
        <v>458</v>
      </c>
      <c r="CU64" s="61"/>
      <c r="CV64" s="61">
        <v>4</v>
      </c>
      <c r="CW64" s="61"/>
      <c r="CX64" s="61" t="s">
        <v>458</v>
      </c>
      <c r="CY64" s="61"/>
      <c r="CZ64" s="61">
        <f>20.5-0.5-17</f>
        <v>3</v>
      </c>
      <c r="DA64" s="61"/>
      <c r="DB64" s="61" t="s">
        <v>458</v>
      </c>
      <c r="DC64" s="61">
        <v>1.5</v>
      </c>
      <c r="DD64" s="86">
        <v>3.5</v>
      </c>
      <c r="DE64" s="61"/>
      <c r="DF64" s="61" t="s">
        <v>458</v>
      </c>
      <c r="DG64" s="61"/>
      <c r="DH64" s="61">
        <v>3</v>
      </c>
      <c r="DI64" s="61"/>
      <c r="DJ64" s="61" t="s">
        <v>458</v>
      </c>
      <c r="DK64" s="61"/>
      <c r="DL64" s="80">
        <v>4</v>
      </c>
      <c r="DM64" s="61"/>
      <c r="DN64" s="61" t="s">
        <v>458</v>
      </c>
      <c r="DO64" s="61"/>
      <c r="DP64" s="61">
        <v>3.5</v>
      </c>
      <c r="DQ64" s="61"/>
      <c r="DR64" s="68">
        <v>8</v>
      </c>
    </row>
    <row r="65" spans="1:122" x14ac:dyDescent="0.25">
      <c r="A65" s="59">
        <v>55</v>
      </c>
      <c r="B65" s="72" t="s">
        <v>154</v>
      </c>
      <c r="C65" s="73" t="s">
        <v>155</v>
      </c>
      <c r="D65" s="60">
        <f t="shared" si="6"/>
        <v>21</v>
      </c>
      <c r="E65" s="60">
        <f t="shared" si="7"/>
        <v>82</v>
      </c>
      <c r="F65" s="60">
        <f t="shared" si="13"/>
        <v>4</v>
      </c>
      <c r="G65" s="60">
        <f t="shared" si="14"/>
        <v>0</v>
      </c>
      <c r="H65" s="60">
        <f t="shared" si="2"/>
        <v>35.5</v>
      </c>
      <c r="I65" s="60">
        <f t="shared" si="15"/>
        <v>0</v>
      </c>
      <c r="J65" s="60">
        <f t="shared" si="16"/>
        <v>0</v>
      </c>
      <c r="K65" s="60">
        <f t="shared" si="17"/>
        <v>0</v>
      </c>
      <c r="L65" s="60">
        <f t="shared" si="18"/>
        <v>0</v>
      </c>
      <c r="M65" s="60">
        <f t="shared" si="19"/>
        <v>0</v>
      </c>
      <c r="N65" s="61"/>
      <c r="O65" s="72"/>
      <c r="P65" s="61"/>
      <c r="Q65" s="61"/>
      <c r="R65" s="61"/>
      <c r="S65" s="61"/>
      <c r="T65" s="61"/>
      <c r="U65" s="61"/>
      <c r="V65" s="68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 t="s">
        <v>458</v>
      </c>
      <c r="AJ65" s="61"/>
      <c r="AK65" s="61">
        <v>4</v>
      </c>
      <c r="AL65" s="61"/>
      <c r="AM65" s="61" t="s">
        <v>458</v>
      </c>
      <c r="AN65" s="61"/>
      <c r="AO65" s="61">
        <v>3.5</v>
      </c>
      <c r="AP65" s="61"/>
      <c r="AQ65" s="61" t="s">
        <v>458</v>
      </c>
      <c r="AR65" s="61"/>
      <c r="AS65" s="61">
        <v>4</v>
      </c>
      <c r="AT65" s="61"/>
      <c r="AU65" s="68">
        <v>9.5</v>
      </c>
      <c r="AV65" s="61" t="s">
        <v>458</v>
      </c>
      <c r="AW65" s="61"/>
      <c r="AX65" s="61">
        <v>4.5</v>
      </c>
      <c r="AY65" s="61"/>
      <c r="AZ65" s="61" t="s">
        <v>458</v>
      </c>
      <c r="BA65" s="61"/>
      <c r="BB65" s="80">
        <v>4.5</v>
      </c>
      <c r="BC65" s="61">
        <v>2</v>
      </c>
      <c r="BD65" s="61" t="s">
        <v>458</v>
      </c>
      <c r="BE65" s="61"/>
      <c r="BF65" s="77">
        <v>4.5</v>
      </c>
      <c r="BG65" s="61">
        <v>0.5</v>
      </c>
      <c r="BH65" s="61" t="s">
        <v>458</v>
      </c>
      <c r="BI65" s="61"/>
      <c r="BJ65" s="61">
        <v>4.5</v>
      </c>
      <c r="BK65" s="61">
        <v>0.5</v>
      </c>
      <c r="BL65" s="61" t="s">
        <v>458</v>
      </c>
      <c r="BM65" s="61"/>
      <c r="BN65" s="77">
        <v>4.5</v>
      </c>
      <c r="BO65" s="61">
        <v>0.5</v>
      </c>
      <c r="BP65" s="61" t="s">
        <v>458</v>
      </c>
      <c r="BQ65" s="61"/>
      <c r="BR65" s="61">
        <v>4.5</v>
      </c>
      <c r="BS65" s="61">
        <v>0.5</v>
      </c>
      <c r="BT65" s="68">
        <v>10</v>
      </c>
      <c r="BU65" s="61" t="s">
        <v>458</v>
      </c>
      <c r="BV65" s="61"/>
      <c r="BW65" s="61">
        <v>4.5</v>
      </c>
      <c r="BX65" s="61"/>
      <c r="BY65" s="61" t="s">
        <v>458</v>
      </c>
      <c r="BZ65" s="61"/>
      <c r="CA65" s="61">
        <v>3.5</v>
      </c>
      <c r="CB65" s="61"/>
      <c r="CC65" s="61" t="s">
        <v>458</v>
      </c>
      <c r="CD65" s="61"/>
      <c r="CE65" s="61">
        <v>4</v>
      </c>
      <c r="CF65" s="61"/>
      <c r="CG65" s="61" t="s">
        <v>458</v>
      </c>
      <c r="CH65" s="61"/>
      <c r="CI65" s="61">
        <f>21.5-0.5-17</f>
        <v>4</v>
      </c>
      <c r="CJ65" s="61"/>
      <c r="CK65" s="61" t="s">
        <v>458</v>
      </c>
      <c r="CL65" s="61"/>
      <c r="CM65" s="86">
        <v>4.5</v>
      </c>
      <c r="CN65" s="61"/>
      <c r="CO65" s="61" t="s">
        <v>458</v>
      </c>
      <c r="CP65" s="61"/>
      <c r="CQ65" s="61">
        <v>1.5</v>
      </c>
      <c r="CR65" s="61"/>
      <c r="CS65" s="68">
        <v>8</v>
      </c>
      <c r="CT65" s="61" t="s">
        <v>458</v>
      </c>
      <c r="CU65" s="61"/>
      <c r="CV65" s="61">
        <v>3.5</v>
      </c>
      <c r="CW65" s="61"/>
      <c r="CX65" s="61" t="s">
        <v>458</v>
      </c>
      <c r="CY65" s="61"/>
      <c r="CZ65" s="61">
        <v>3</v>
      </c>
      <c r="DA65" s="61"/>
      <c r="DB65" s="61" t="s">
        <v>458</v>
      </c>
      <c r="DC65" s="61"/>
      <c r="DD65" s="86">
        <v>3.5</v>
      </c>
      <c r="DE65" s="61"/>
      <c r="DF65" s="61" t="s">
        <v>458</v>
      </c>
      <c r="DG65" s="61"/>
      <c r="DH65" s="61">
        <v>3</v>
      </c>
      <c r="DI65" s="61"/>
      <c r="DJ65" s="61" t="s">
        <v>458</v>
      </c>
      <c r="DK65" s="61"/>
      <c r="DL65" s="80">
        <v>4</v>
      </c>
      <c r="DM65" s="61"/>
      <c r="DN65" s="61" t="s">
        <v>458</v>
      </c>
      <c r="DO65" s="61"/>
      <c r="DP65" s="61">
        <v>4.5</v>
      </c>
      <c r="DQ65" s="61"/>
      <c r="DR65" s="68">
        <v>8</v>
      </c>
    </row>
    <row r="66" spans="1:122" x14ac:dyDescent="0.25">
      <c r="A66" s="59">
        <v>56</v>
      </c>
      <c r="B66" s="72" t="s">
        <v>158</v>
      </c>
      <c r="C66" s="73" t="s">
        <v>159</v>
      </c>
      <c r="D66" s="60">
        <f t="shared" si="6"/>
        <v>17</v>
      </c>
      <c r="E66" s="60">
        <f>IF(C66="",0,SUMIFS($N66:$DR66,$N$7:$DR$7,$I$2,$N$6:$DR$6,1))</f>
        <v>47.5</v>
      </c>
      <c r="F66" s="60">
        <f t="shared" si="13"/>
        <v>0.5</v>
      </c>
      <c r="G66" s="60">
        <f t="shared" si="14"/>
        <v>0</v>
      </c>
      <c r="H66" s="60">
        <f>IF(E66="",0,SUMIFS($N66:$DR66,$N$7:$DR$7,$I$1,$N$6:$DR$6,2))</f>
        <v>34.5</v>
      </c>
      <c r="I66" s="60">
        <f t="shared" si="15"/>
        <v>0</v>
      </c>
      <c r="J66" s="60">
        <f t="shared" si="16"/>
        <v>3</v>
      </c>
      <c r="K66" s="60">
        <f t="shared" si="17"/>
        <v>0</v>
      </c>
      <c r="L66" s="60">
        <f t="shared" si="18"/>
        <v>0</v>
      </c>
      <c r="M66" s="60">
        <f t="shared" si="19"/>
        <v>0</v>
      </c>
      <c r="N66" s="61"/>
      <c r="O66" s="72"/>
      <c r="P66" s="61"/>
      <c r="Q66" s="61"/>
      <c r="R66" s="61"/>
      <c r="S66" s="61"/>
      <c r="T66" s="61"/>
      <c r="U66" s="61"/>
      <c r="V66" s="68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 t="s">
        <v>458</v>
      </c>
      <c r="AJ66" s="61"/>
      <c r="AK66" s="61">
        <v>4</v>
      </c>
      <c r="AL66" s="61"/>
      <c r="AM66" s="61" t="s">
        <v>458</v>
      </c>
      <c r="AN66" s="61"/>
      <c r="AO66" s="61">
        <v>3.5</v>
      </c>
      <c r="AP66" s="61"/>
      <c r="AQ66" s="61" t="s">
        <v>458</v>
      </c>
      <c r="AR66" s="61"/>
      <c r="AS66" s="61">
        <v>4</v>
      </c>
      <c r="AT66" s="61"/>
      <c r="AU66" s="68">
        <v>9.5</v>
      </c>
      <c r="AV66" s="61" t="s">
        <v>458</v>
      </c>
      <c r="AW66" s="61"/>
      <c r="AX66" s="61"/>
      <c r="AY66" s="61"/>
      <c r="AZ66" s="61" t="s">
        <v>458</v>
      </c>
      <c r="BA66" s="61"/>
      <c r="BB66" s="80"/>
      <c r="BC66" s="61"/>
      <c r="BD66" s="61" t="s">
        <v>13</v>
      </c>
      <c r="BE66" s="61"/>
      <c r="BF66" s="77"/>
      <c r="BG66" s="61"/>
      <c r="BH66" s="61" t="s">
        <v>13</v>
      </c>
      <c r="BI66" s="61"/>
      <c r="BJ66" s="61"/>
      <c r="BK66" s="61"/>
      <c r="BL66" s="61" t="s">
        <v>13</v>
      </c>
      <c r="BM66" s="61"/>
      <c r="BN66" s="77"/>
      <c r="BO66" s="61"/>
      <c r="BP66" s="61" t="s">
        <v>458</v>
      </c>
      <c r="BQ66" s="61"/>
      <c r="BR66" s="61">
        <v>4.5</v>
      </c>
      <c r="BS66" s="61">
        <v>0.5</v>
      </c>
      <c r="BT66" s="68">
        <v>9</v>
      </c>
      <c r="BU66" s="61" t="s">
        <v>458</v>
      </c>
      <c r="BV66" s="61"/>
      <c r="BW66" s="61">
        <v>4.5</v>
      </c>
      <c r="BX66" s="61"/>
      <c r="BY66" s="61"/>
      <c r="BZ66" s="61"/>
      <c r="CA66" s="61"/>
      <c r="CB66" s="61"/>
      <c r="CC66" s="61" t="s">
        <v>458</v>
      </c>
      <c r="CD66" s="61"/>
      <c r="CE66" s="61">
        <v>4</v>
      </c>
      <c r="CF66" s="61"/>
      <c r="CG66" s="61" t="s">
        <v>458</v>
      </c>
      <c r="CH66" s="61"/>
      <c r="CI66" s="61"/>
      <c r="CJ66" s="61"/>
      <c r="CK66" s="61" t="s">
        <v>458</v>
      </c>
      <c r="CL66" s="61"/>
      <c r="CM66" s="86">
        <v>4.5</v>
      </c>
      <c r="CN66" s="61"/>
      <c r="CO66" s="61" t="s">
        <v>458</v>
      </c>
      <c r="CP66" s="61"/>
      <c r="CQ66" s="61">
        <v>1.5</v>
      </c>
      <c r="CR66" s="61"/>
      <c r="CS66" s="68">
        <v>8</v>
      </c>
      <c r="CT66" s="61" t="s">
        <v>458</v>
      </c>
      <c r="CU66" s="61"/>
      <c r="CV66" s="61">
        <v>3.5</v>
      </c>
      <c r="CW66" s="61"/>
      <c r="CX66" s="61" t="s">
        <v>458</v>
      </c>
      <c r="CY66" s="61"/>
      <c r="CZ66" s="61">
        <f>20.5-17-0.5</f>
        <v>3</v>
      </c>
      <c r="DA66" s="61"/>
      <c r="DB66" s="61" t="s">
        <v>458</v>
      </c>
      <c r="DC66" s="61"/>
      <c r="DD66" s="86">
        <f>21-17-0.5</f>
        <v>3.5</v>
      </c>
      <c r="DE66" s="61"/>
      <c r="DF66" s="61" t="s">
        <v>458</v>
      </c>
      <c r="DG66" s="61"/>
      <c r="DH66" s="61">
        <v>3</v>
      </c>
      <c r="DI66" s="61"/>
      <c r="DJ66" s="61" t="s">
        <v>458</v>
      </c>
      <c r="DK66" s="61"/>
      <c r="DL66" s="80">
        <f>20-17-0.5</f>
        <v>2.5</v>
      </c>
      <c r="DM66" s="61"/>
      <c r="DN66" s="61" t="s">
        <v>458</v>
      </c>
      <c r="DO66" s="61"/>
      <c r="DP66" s="61">
        <v>1.5</v>
      </c>
      <c r="DQ66" s="61"/>
      <c r="DR66" s="68">
        <v>8</v>
      </c>
    </row>
    <row r="67" spans="1:122" x14ac:dyDescent="0.25">
      <c r="A67" s="59">
        <v>57</v>
      </c>
      <c r="B67" s="72" t="s">
        <v>150</v>
      </c>
      <c r="C67" s="73" t="s">
        <v>151</v>
      </c>
      <c r="D67" s="60">
        <f t="shared" si="6"/>
        <v>10</v>
      </c>
      <c r="E67" s="60">
        <f t="shared" si="7"/>
        <v>13</v>
      </c>
      <c r="F67" s="60">
        <f t="shared" si="13"/>
        <v>0</v>
      </c>
      <c r="G67" s="60">
        <f t="shared" si="14"/>
        <v>0</v>
      </c>
      <c r="H67" s="60">
        <f t="shared" si="2"/>
        <v>9</v>
      </c>
      <c r="I67" s="60">
        <f t="shared" si="15"/>
        <v>0</v>
      </c>
      <c r="J67" s="60">
        <f t="shared" si="16"/>
        <v>0</v>
      </c>
      <c r="K67" s="60">
        <f t="shared" si="17"/>
        <v>0</v>
      </c>
      <c r="L67" s="60">
        <f t="shared" si="18"/>
        <v>0</v>
      </c>
      <c r="M67" s="60">
        <f t="shared" si="19"/>
        <v>0</v>
      </c>
      <c r="N67" s="61"/>
      <c r="O67" s="72"/>
      <c r="P67" s="61"/>
      <c r="Q67" s="61"/>
      <c r="R67" s="61"/>
      <c r="S67" s="61"/>
      <c r="T67" s="61"/>
      <c r="U67" s="61"/>
      <c r="V67" s="68"/>
      <c r="W67" s="61"/>
      <c r="X67" s="61"/>
      <c r="Y67" s="61"/>
      <c r="Z67" s="61"/>
      <c r="AA67" s="61"/>
      <c r="AB67" s="61"/>
      <c r="AC67" s="61"/>
      <c r="AD67" s="61"/>
      <c r="AE67" s="61" t="s">
        <v>458</v>
      </c>
      <c r="AF67" s="61"/>
      <c r="AG67" s="61"/>
      <c r="AH67" s="61"/>
      <c r="AI67" s="61" t="s">
        <v>458</v>
      </c>
      <c r="AJ67" s="61"/>
      <c r="AK67" s="61"/>
      <c r="AL67" s="61"/>
      <c r="AM67" s="61" t="s">
        <v>458</v>
      </c>
      <c r="AN67" s="61"/>
      <c r="AO67" s="61">
        <v>1</v>
      </c>
      <c r="AP67" s="61"/>
      <c r="AQ67" s="61" t="s">
        <v>458</v>
      </c>
      <c r="AR67" s="61"/>
      <c r="AS67" s="61">
        <v>3</v>
      </c>
      <c r="AT67" s="61"/>
      <c r="AU67" s="68">
        <v>9</v>
      </c>
      <c r="AV67" s="61" t="s">
        <v>458</v>
      </c>
      <c r="AW67" s="61"/>
      <c r="AX67" s="61"/>
      <c r="AY67" s="61"/>
      <c r="AZ67" s="61" t="s">
        <v>458</v>
      </c>
      <c r="BA67" s="61"/>
      <c r="BB67" s="80">
        <v>3</v>
      </c>
      <c r="BC67" s="61"/>
      <c r="BD67" s="61" t="s">
        <v>458</v>
      </c>
      <c r="BE67" s="61"/>
      <c r="BF67" s="77">
        <v>3</v>
      </c>
      <c r="BG67" s="61"/>
      <c r="BH67" s="61" t="s">
        <v>458</v>
      </c>
      <c r="BI67" s="61"/>
      <c r="BJ67" s="61"/>
      <c r="BK67" s="61"/>
      <c r="BL67" s="61" t="s">
        <v>458</v>
      </c>
      <c r="BM67" s="61"/>
      <c r="BN67" s="77">
        <v>3</v>
      </c>
      <c r="BO67" s="61"/>
      <c r="BP67" s="61" t="s">
        <v>458</v>
      </c>
      <c r="BQ67" s="61"/>
      <c r="BR67" s="61"/>
      <c r="BS67" s="61"/>
      <c r="BT67" s="68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86"/>
      <c r="CN67" s="61"/>
      <c r="CO67" s="61"/>
      <c r="CP67" s="61"/>
      <c r="CQ67" s="61"/>
      <c r="CR67" s="61"/>
      <c r="CS67" s="68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86"/>
      <c r="DE67" s="61"/>
      <c r="DF67" s="61"/>
      <c r="DG67" s="61"/>
      <c r="DH67" s="61"/>
      <c r="DI67" s="61"/>
      <c r="DJ67" s="61"/>
      <c r="DK67" s="61"/>
      <c r="DL67" s="80"/>
      <c r="DM67" s="61"/>
      <c r="DN67" s="61"/>
      <c r="DO67" s="61"/>
      <c r="DP67" s="61"/>
      <c r="DQ67" s="61"/>
      <c r="DR67" s="68"/>
    </row>
    <row r="68" spans="1:122" x14ac:dyDescent="0.25">
      <c r="A68" s="59">
        <v>58</v>
      </c>
      <c r="B68" s="72" t="s">
        <v>138</v>
      </c>
      <c r="C68" s="73" t="s">
        <v>139</v>
      </c>
      <c r="D68" s="60">
        <f t="shared" si="6"/>
        <v>8</v>
      </c>
      <c r="E68" s="60">
        <f t="shared" si="7"/>
        <v>0</v>
      </c>
      <c r="F68" s="60">
        <f t="shared" si="13"/>
        <v>0</v>
      </c>
      <c r="G68" s="60">
        <f t="shared" si="14"/>
        <v>0</v>
      </c>
      <c r="H68" s="60">
        <f t="shared" si="2"/>
        <v>0</v>
      </c>
      <c r="I68" s="60">
        <f t="shared" si="15"/>
        <v>0</v>
      </c>
      <c r="J68" s="60">
        <f t="shared" si="16"/>
        <v>0</v>
      </c>
      <c r="K68" s="60">
        <f t="shared" si="17"/>
        <v>0</v>
      </c>
      <c r="L68" s="60">
        <f t="shared" si="18"/>
        <v>0</v>
      </c>
      <c r="M68" s="60">
        <f t="shared" si="19"/>
        <v>0</v>
      </c>
      <c r="N68" s="61"/>
      <c r="O68" s="72"/>
      <c r="P68" s="61"/>
      <c r="Q68" s="61"/>
      <c r="R68" s="61"/>
      <c r="S68" s="61"/>
      <c r="T68" s="61"/>
      <c r="U68" s="61"/>
      <c r="V68" s="68"/>
      <c r="W68" s="61"/>
      <c r="X68" s="61"/>
      <c r="Y68" s="61"/>
      <c r="Z68" s="61"/>
      <c r="AA68" s="61" t="s">
        <v>458</v>
      </c>
      <c r="AB68" s="61"/>
      <c r="AC68" s="61"/>
      <c r="AD68" s="61"/>
      <c r="AE68" s="61" t="s">
        <v>458</v>
      </c>
      <c r="AF68" s="61"/>
      <c r="AG68" s="61"/>
      <c r="AH68" s="61"/>
      <c r="AI68" s="61" t="s">
        <v>458</v>
      </c>
      <c r="AJ68" s="61"/>
      <c r="AK68" s="61"/>
      <c r="AL68" s="61"/>
      <c r="AM68" s="61" t="s">
        <v>458</v>
      </c>
      <c r="AN68" s="61"/>
      <c r="AO68" s="61"/>
      <c r="AP68" s="61"/>
      <c r="AQ68" s="61" t="s">
        <v>458</v>
      </c>
      <c r="AR68" s="61"/>
      <c r="AS68" s="61"/>
      <c r="AT68" s="61"/>
      <c r="AU68" s="68"/>
      <c r="AV68" s="61" t="s">
        <v>458</v>
      </c>
      <c r="AW68" s="61"/>
      <c r="AX68" s="61"/>
      <c r="AY68" s="61"/>
      <c r="AZ68" s="61" t="s">
        <v>458</v>
      </c>
      <c r="BA68" s="61"/>
      <c r="BB68" s="80"/>
      <c r="BC68" s="61"/>
      <c r="BD68" s="61" t="s">
        <v>458</v>
      </c>
      <c r="BE68" s="61"/>
      <c r="BF68" s="77"/>
      <c r="BG68" s="61"/>
      <c r="BH68" s="61"/>
      <c r="BI68" s="61"/>
      <c r="BJ68" s="61"/>
      <c r="BK68" s="61"/>
      <c r="BL68" s="61"/>
      <c r="BM68" s="61"/>
      <c r="BN68" s="77"/>
      <c r="BO68" s="61"/>
      <c r="BP68" s="61"/>
      <c r="BQ68" s="61"/>
      <c r="BR68" s="61"/>
      <c r="BS68" s="61"/>
      <c r="BT68" s="68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86"/>
      <c r="CN68" s="61"/>
      <c r="CO68" s="61"/>
      <c r="CP68" s="61"/>
      <c r="CQ68" s="61"/>
      <c r="CR68" s="61"/>
      <c r="CS68" s="68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86"/>
      <c r="DE68" s="61"/>
      <c r="DF68" s="61"/>
      <c r="DG68" s="61"/>
      <c r="DH68" s="61"/>
      <c r="DI68" s="61"/>
      <c r="DJ68" s="61"/>
      <c r="DK68" s="61"/>
      <c r="DL68" s="80"/>
      <c r="DM68" s="61"/>
      <c r="DN68" s="61"/>
      <c r="DO68" s="61"/>
      <c r="DP68" s="61"/>
      <c r="DQ68" s="61"/>
      <c r="DR68" s="68"/>
    </row>
    <row r="69" spans="1:122" x14ac:dyDescent="0.25">
      <c r="A69" s="59">
        <v>59</v>
      </c>
      <c r="B69" s="72" t="s">
        <v>140</v>
      </c>
      <c r="C69" s="73" t="s">
        <v>141</v>
      </c>
      <c r="D69" s="60">
        <f t="shared" si="6"/>
        <v>20</v>
      </c>
      <c r="E69" s="60">
        <f t="shared" si="7"/>
        <v>56.5</v>
      </c>
      <c r="F69" s="60">
        <f t="shared" si="13"/>
        <v>2</v>
      </c>
      <c r="G69" s="60">
        <f t="shared" si="14"/>
        <v>0</v>
      </c>
      <c r="H69" s="60">
        <f t="shared" si="2"/>
        <v>16</v>
      </c>
      <c r="I69" s="60">
        <f t="shared" si="15"/>
        <v>0</v>
      </c>
      <c r="J69" s="60">
        <f t="shared" si="16"/>
        <v>2</v>
      </c>
      <c r="K69" s="60">
        <f t="shared" si="17"/>
        <v>0</v>
      </c>
      <c r="L69" s="60">
        <f t="shared" si="18"/>
        <v>0</v>
      </c>
      <c r="M69" s="60">
        <f t="shared" si="19"/>
        <v>0</v>
      </c>
      <c r="N69" s="61"/>
      <c r="O69" s="72"/>
      <c r="P69" s="61"/>
      <c r="Q69" s="61"/>
      <c r="R69" s="61"/>
      <c r="S69" s="61"/>
      <c r="T69" s="61"/>
      <c r="U69" s="61"/>
      <c r="V69" s="68"/>
      <c r="W69" s="61"/>
      <c r="X69" s="61"/>
      <c r="Y69" s="61"/>
      <c r="Z69" s="61"/>
      <c r="AA69" s="61"/>
      <c r="AB69" s="61"/>
      <c r="AC69" s="61"/>
      <c r="AD69" s="61"/>
      <c r="AE69" s="61" t="s">
        <v>458</v>
      </c>
      <c r="AF69" s="61"/>
      <c r="AG69" s="61">
        <v>4.5</v>
      </c>
      <c r="AH69" s="61"/>
      <c r="AI69" s="61" t="s">
        <v>458</v>
      </c>
      <c r="AJ69" s="61"/>
      <c r="AK69" s="61">
        <v>4</v>
      </c>
      <c r="AL69" s="61"/>
      <c r="AM69" s="61" t="s">
        <v>458</v>
      </c>
      <c r="AN69" s="61"/>
      <c r="AO69" s="61">
        <v>1.5</v>
      </c>
      <c r="AP69" s="61"/>
      <c r="AQ69" s="61" t="s">
        <v>458</v>
      </c>
      <c r="AR69" s="61"/>
      <c r="AS69" s="61">
        <v>3.5</v>
      </c>
      <c r="AT69" s="61"/>
      <c r="AU69" s="68"/>
      <c r="AV69" s="61" t="s">
        <v>458</v>
      </c>
      <c r="AW69" s="61"/>
      <c r="AX69" s="61">
        <v>3.5</v>
      </c>
      <c r="AY69" s="61"/>
      <c r="AZ69" s="61" t="s">
        <v>458</v>
      </c>
      <c r="BA69" s="61"/>
      <c r="BB69" s="80">
        <v>4.5</v>
      </c>
      <c r="BC69" s="61">
        <v>2</v>
      </c>
      <c r="BD69" s="61" t="s">
        <v>458</v>
      </c>
      <c r="BE69" s="61"/>
      <c r="BF69" s="77">
        <v>4.5</v>
      </c>
      <c r="BG69" s="61"/>
      <c r="BH69" s="61" t="s">
        <v>458</v>
      </c>
      <c r="BI69" s="61"/>
      <c r="BJ69" s="61"/>
      <c r="BK69" s="61"/>
      <c r="BL69" s="61" t="s">
        <v>13</v>
      </c>
      <c r="BM69" s="61"/>
      <c r="BN69" s="77"/>
      <c r="BO69" s="61"/>
      <c r="BP69" s="61" t="s">
        <v>458</v>
      </c>
      <c r="BQ69" s="61"/>
      <c r="BR69" s="61"/>
      <c r="BS69" s="61"/>
      <c r="BT69" s="68">
        <v>8</v>
      </c>
      <c r="BU69" s="61" t="s">
        <v>458</v>
      </c>
      <c r="BV69" s="61"/>
      <c r="BW69" s="61">
        <v>4.5</v>
      </c>
      <c r="BX69" s="61"/>
      <c r="BY69" s="61" t="s">
        <v>458</v>
      </c>
      <c r="BZ69" s="61"/>
      <c r="CA69" s="61">
        <v>4</v>
      </c>
      <c r="CB69" s="61"/>
      <c r="CC69" s="61" t="s">
        <v>458</v>
      </c>
      <c r="CD69" s="61"/>
      <c r="CE69" s="61">
        <v>3.5</v>
      </c>
      <c r="CF69" s="61"/>
      <c r="CG69" s="61" t="s">
        <v>458</v>
      </c>
      <c r="CH69" s="61"/>
      <c r="CI69" s="61">
        <v>3.5</v>
      </c>
      <c r="CJ69" s="61"/>
      <c r="CK69" s="61" t="s">
        <v>458</v>
      </c>
      <c r="CL69" s="61"/>
      <c r="CM69" s="86"/>
      <c r="CN69" s="61"/>
      <c r="CO69" s="61" t="s">
        <v>458</v>
      </c>
      <c r="CP69" s="61"/>
      <c r="CQ69" s="61">
        <v>1.5</v>
      </c>
      <c r="CR69" s="61"/>
      <c r="CS69" s="68">
        <v>8</v>
      </c>
      <c r="CT69" s="61" t="s">
        <v>458</v>
      </c>
      <c r="CU69" s="61"/>
      <c r="CV69" s="61">
        <v>3.5</v>
      </c>
      <c r="CW69" s="61"/>
      <c r="CX69" s="61" t="s">
        <v>458</v>
      </c>
      <c r="CY69" s="61"/>
      <c r="CZ69" s="61">
        <v>3.5</v>
      </c>
      <c r="DA69" s="61"/>
      <c r="DB69" s="61" t="s">
        <v>458</v>
      </c>
      <c r="DC69" s="61"/>
      <c r="DD69" s="86">
        <v>3.5</v>
      </c>
      <c r="DE69" s="61"/>
      <c r="DF69" s="61" t="s">
        <v>458</v>
      </c>
      <c r="DG69" s="61"/>
      <c r="DH69" s="61">
        <v>3</v>
      </c>
      <c r="DI69" s="61"/>
      <c r="DJ69" s="61" t="s">
        <v>458</v>
      </c>
      <c r="DK69" s="61"/>
      <c r="DL69" s="80"/>
      <c r="DM69" s="61"/>
      <c r="DN69" s="61" t="s">
        <v>13</v>
      </c>
      <c r="DO69" s="61"/>
      <c r="DP69" s="61"/>
      <c r="DQ69" s="61"/>
      <c r="DR69" s="68"/>
    </row>
    <row r="70" spans="1:122" x14ac:dyDescent="0.25">
      <c r="A70" s="59">
        <v>60</v>
      </c>
      <c r="B70" s="72" t="s">
        <v>142</v>
      </c>
      <c r="C70" s="73" t="s">
        <v>143</v>
      </c>
      <c r="D70" s="60">
        <f t="shared" si="6"/>
        <v>20</v>
      </c>
      <c r="E70" s="60">
        <f t="shared" si="7"/>
        <v>61.5</v>
      </c>
      <c r="F70" s="60">
        <f t="shared" si="13"/>
        <v>2.5</v>
      </c>
      <c r="G70" s="60">
        <f t="shared" si="14"/>
        <v>0</v>
      </c>
      <c r="H70" s="60">
        <f t="shared" si="2"/>
        <v>0</v>
      </c>
      <c r="I70" s="60">
        <f t="shared" si="15"/>
        <v>0</v>
      </c>
      <c r="J70" s="60">
        <f t="shared" si="16"/>
        <v>1</v>
      </c>
      <c r="K70" s="60">
        <f t="shared" si="17"/>
        <v>0</v>
      </c>
      <c r="L70" s="60">
        <f t="shared" si="18"/>
        <v>0</v>
      </c>
      <c r="M70" s="60">
        <f t="shared" si="19"/>
        <v>0</v>
      </c>
      <c r="N70" s="61"/>
      <c r="O70" s="72"/>
      <c r="P70" s="61"/>
      <c r="Q70" s="61"/>
      <c r="R70" s="61"/>
      <c r="S70" s="61"/>
      <c r="T70" s="61"/>
      <c r="U70" s="61"/>
      <c r="V70" s="68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 t="s">
        <v>458</v>
      </c>
      <c r="AJ70" s="61"/>
      <c r="AK70" s="61">
        <v>4</v>
      </c>
      <c r="AL70" s="61"/>
      <c r="AM70" s="61" t="s">
        <v>458</v>
      </c>
      <c r="AN70" s="61"/>
      <c r="AO70" s="61">
        <v>1</v>
      </c>
      <c r="AP70" s="61"/>
      <c r="AQ70" s="61" t="s">
        <v>458</v>
      </c>
      <c r="AR70" s="61"/>
      <c r="AS70" s="61">
        <v>3.5</v>
      </c>
      <c r="AT70" s="61"/>
      <c r="AU70" s="68"/>
      <c r="AV70" s="61" t="s">
        <v>458</v>
      </c>
      <c r="AW70" s="61"/>
      <c r="AX70" s="61">
        <v>3.5</v>
      </c>
      <c r="AY70" s="61"/>
      <c r="AZ70" s="61" t="s">
        <v>458</v>
      </c>
      <c r="BA70" s="61"/>
      <c r="BB70" s="80">
        <v>4.5</v>
      </c>
      <c r="BC70" s="61">
        <v>2</v>
      </c>
      <c r="BD70" s="61" t="s">
        <v>458</v>
      </c>
      <c r="BE70" s="61"/>
      <c r="BF70" s="77"/>
      <c r="BG70" s="61"/>
      <c r="BH70" s="61" t="s">
        <v>458</v>
      </c>
      <c r="BI70" s="61"/>
      <c r="BJ70" s="61">
        <v>4.5</v>
      </c>
      <c r="BK70" s="61">
        <v>0.5</v>
      </c>
      <c r="BL70" s="61" t="s">
        <v>13</v>
      </c>
      <c r="BM70" s="61"/>
      <c r="BN70" s="77"/>
      <c r="BO70" s="61"/>
      <c r="BP70" s="61" t="s">
        <v>458</v>
      </c>
      <c r="BQ70" s="61"/>
      <c r="BR70" s="61">
        <v>4</v>
      </c>
      <c r="BS70" s="61"/>
      <c r="BT70" s="68"/>
      <c r="BU70" s="61" t="s">
        <v>458</v>
      </c>
      <c r="BV70" s="61"/>
      <c r="BW70" s="61">
        <v>4.5</v>
      </c>
      <c r="BX70" s="61"/>
      <c r="BY70" s="61" t="s">
        <v>458</v>
      </c>
      <c r="BZ70" s="61"/>
      <c r="CA70" s="61"/>
      <c r="CB70" s="61"/>
      <c r="CC70" s="61" t="s">
        <v>458</v>
      </c>
      <c r="CD70" s="61"/>
      <c r="CE70" s="61">
        <v>4.5</v>
      </c>
      <c r="CF70" s="61"/>
      <c r="CG70" s="61" t="s">
        <v>458</v>
      </c>
      <c r="CH70" s="61"/>
      <c r="CI70" s="61">
        <f>21.5-17-0.5</f>
        <v>4</v>
      </c>
      <c r="CJ70" s="61"/>
      <c r="CK70" s="61" t="s">
        <v>458</v>
      </c>
      <c r="CL70" s="61"/>
      <c r="CM70" s="86">
        <v>4.5</v>
      </c>
      <c r="CN70" s="61"/>
      <c r="CO70" s="61" t="s">
        <v>458</v>
      </c>
      <c r="CP70" s="61"/>
      <c r="CQ70" s="61">
        <v>1.5</v>
      </c>
      <c r="CR70" s="61"/>
      <c r="CS70" s="68"/>
      <c r="CT70" s="61" t="s">
        <v>458</v>
      </c>
      <c r="CU70" s="61"/>
      <c r="CV70" s="61">
        <v>4</v>
      </c>
      <c r="CW70" s="61"/>
      <c r="CX70" s="61" t="s">
        <v>458</v>
      </c>
      <c r="CY70" s="61"/>
      <c r="CZ70" s="61">
        <v>3</v>
      </c>
      <c r="DA70" s="61"/>
      <c r="DB70" s="61" t="s">
        <v>458</v>
      </c>
      <c r="DC70" s="61"/>
      <c r="DD70" s="86"/>
      <c r="DE70" s="61"/>
      <c r="DF70" s="61" t="s">
        <v>458</v>
      </c>
      <c r="DG70" s="61"/>
      <c r="DH70" s="61">
        <v>3</v>
      </c>
      <c r="DI70" s="61"/>
      <c r="DJ70" s="61" t="s">
        <v>458</v>
      </c>
      <c r="DK70" s="61"/>
      <c r="DL70" s="80">
        <v>4</v>
      </c>
      <c r="DM70" s="61"/>
      <c r="DN70" s="61" t="s">
        <v>458</v>
      </c>
      <c r="DO70" s="61"/>
      <c r="DP70" s="61">
        <v>3.5</v>
      </c>
      <c r="DQ70" s="61"/>
      <c r="DR70" s="68"/>
    </row>
    <row r="71" spans="1:122" x14ac:dyDescent="0.25">
      <c r="A71" s="59">
        <v>61</v>
      </c>
      <c r="B71" s="72" t="s">
        <v>144</v>
      </c>
      <c r="C71" s="73" t="s">
        <v>145</v>
      </c>
      <c r="D71" s="60">
        <f t="shared" si="6"/>
        <v>19</v>
      </c>
      <c r="E71" s="60">
        <f t="shared" si="7"/>
        <v>55</v>
      </c>
      <c r="F71" s="60">
        <f t="shared" si="13"/>
        <v>2.5</v>
      </c>
      <c r="G71" s="60">
        <f t="shared" si="14"/>
        <v>0</v>
      </c>
      <c r="H71" s="60">
        <f t="shared" si="2"/>
        <v>8</v>
      </c>
      <c r="I71" s="60">
        <f t="shared" si="15"/>
        <v>0</v>
      </c>
      <c r="J71" s="60">
        <f t="shared" si="16"/>
        <v>0</v>
      </c>
      <c r="K71" s="60">
        <f t="shared" si="17"/>
        <v>0</v>
      </c>
      <c r="L71" s="60">
        <f t="shared" si="18"/>
        <v>0</v>
      </c>
      <c r="M71" s="60">
        <f t="shared" si="19"/>
        <v>0</v>
      </c>
      <c r="N71" s="62"/>
      <c r="O71" s="72"/>
      <c r="P71" s="62"/>
      <c r="Q71" s="62"/>
      <c r="R71" s="62"/>
      <c r="S71" s="62"/>
      <c r="T71" s="62"/>
      <c r="U71" s="62"/>
      <c r="V71" s="69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 t="s">
        <v>458</v>
      </c>
      <c r="AN71" s="62"/>
      <c r="AO71" s="62">
        <v>1.5</v>
      </c>
      <c r="AP71" s="62"/>
      <c r="AQ71" s="62" t="s">
        <v>458</v>
      </c>
      <c r="AR71" s="62"/>
      <c r="AS71" s="62">
        <v>3</v>
      </c>
      <c r="AT71" s="62"/>
      <c r="AU71" s="69"/>
      <c r="AV71" s="62" t="s">
        <v>458</v>
      </c>
      <c r="AW71" s="62"/>
      <c r="AX71" s="62">
        <v>3.5</v>
      </c>
      <c r="AY71" s="62"/>
      <c r="AZ71" s="62" t="s">
        <v>458</v>
      </c>
      <c r="BA71" s="62"/>
      <c r="BB71" s="81">
        <v>4.5</v>
      </c>
      <c r="BC71" s="62">
        <v>2</v>
      </c>
      <c r="BD71" s="62" t="s">
        <v>458</v>
      </c>
      <c r="BE71" s="62"/>
      <c r="BF71" s="78">
        <v>4.5</v>
      </c>
      <c r="BG71" s="62"/>
      <c r="BH71" s="62" t="s">
        <v>458</v>
      </c>
      <c r="BI71" s="62"/>
      <c r="BJ71" s="62">
        <v>4.5</v>
      </c>
      <c r="BK71" s="62">
        <v>0.5</v>
      </c>
      <c r="BL71" s="62" t="s">
        <v>458</v>
      </c>
      <c r="BM71" s="62"/>
      <c r="BN71" s="78"/>
      <c r="BO71" s="62"/>
      <c r="BP71" s="62" t="s">
        <v>458</v>
      </c>
      <c r="BQ71" s="62"/>
      <c r="BR71" s="62"/>
      <c r="BS71" s="62"/>
      <c r="BT71" s="69"/>
      <c r="BU71" s="62" t="s">
        <v>458</v>
      </c>
      <c r="BV71" s="62"/>
      <c r="BW71" s="62"/>
      <c r="BX71" s="62"/>
      <c r="BY71" s="62" t="s">
        <v>458</v>
      </c>
      <c r="BZ71" s="62"/>
      <c r="CA71" s="62">
        <v>3.5</v>
      </c>
      <c r="CB71" s="62"/>
      <c r="CC71" s="62" t="s">
        <v>458</v>
      </c>
      <c r="CD71" s="62"/>
      <c r="CE71" s="62">
        <f>21-17-0.5</f>
        <v>3.5</v>
      </c>
      <c r="CF71" s="62"/>
      <c r="CG71" s="62" t="s">
        <v>458</v>
      </c>
      <c r="CH71" s="62"/>
      <c r="CI71" s="62">
        <v>3.5</v>
      </c>
      <c r="CJ71" s="62"/>
      <c r="CK71" s="62"/>
      <c r="CL71" s="62"/>
      <c r="CM71" s="87"/>
      <c r="CN71" s="62"/>
      <c r="CO71" s="62" t="s">
        <v>458</v>
      </c>
      <c r="CP71" s="62"/>
      <c r="CQ71" s="62">
        <v>1.5</v>
      </c>
      <c r="CR71" s="62"/>
      <c r="CS71" s="69">
        <v>8</v>
      </c>
      <c r="CT71" s="61" t="s">
        <v>458</v>
      </c>
      <c r="CU71" s="62"/>
      <c r="CV71" s="62">
        <v>3.5</v>
      </c>
      <c r="CW71" s="62"/>
      <c r="CX71" s="61" t="s">
        <v>458</v>
      </c>
      <c r="CY71" s="62"/>
      <c r="CZ71" s="62">
        <v>3</v>
      </c>
      <c r="DA71" s="62"/>
      <c r="DB71" s="61" t="s">
        <v>458</v>
      </c>
      <c r="DC71" s="62"/>
      <c r="DD71" s="87">
        <v>4</v>
      </c>
      <c r="DE71" s="62"/>
      <c r="DF71" s="61" t="s">
        <v>458</v>
      </c>
      <c r="DG71" s="62"/>
      <c r="DH71" s="62">
        <v>3</v>
      </c>
      <c r="DI71" s="62"/>
      <c r="DJ71" s="62" t="s">
        <v>458</v>
      </c>
      <c r="DK71" s="62"/>
      <c r="DL71" s="81">
        <v>4</v>
      </c>
      <c r="DM71" s="62"/>
      <c r="DN71" s="62" t="s">
        <v>458</v>
      </c>
      <c r="DO71" s="62"/>
      <c r="DP71" s="62">
        <v>4</v>
      </c>
      <c r="DQ71" s="62"/>
      <c r="DR71" s="69"/>
    </row>
    <row r="72" spans="1:122" x14ac:dyDescent="0.25">
      <c r="A72" s="59">
        <v>62</v>
      </c>
      <c r="B72" s="72" t="s">
        <v>146</v>
      </c>
      <c r="C72" s="73" t="s">
        <v>147</v>
      </c>
      <c r="D72" s="60">
        <f t="shared" si="6"/>
        <v>9</v>
      </c>
      <c r="E72" s="60">
        <f t="shared" ref="E72:E89" si="20">IF(C72="",0,SUMIFS($N72:$DR72,$N$7:$DR$7,$I$2,$N$6:$DR$6,1))</f>
        <v>12</v>
      </c>
      <c r="F72" s="60">
        <f t="shared" si="13"/>
        <v>0</v>
      </c>
      <c r="G72" s="60">
        <f t="shared" si="14"/>
        <v>0</v>
      </c>
      <c r="H72" s="60">
        <f t="shared" ref="H72:H89" si="21">IF(E72="",0,SUMIFS($N72:$DR72,$N$7:$DR$7,$I$1,$N$6:$DR$6,2))</f>
        <v>0</v>
      </c>
      <c r="I72" s="60">
        <f t="shared" si="15"/>
        <v>0</v>
      </c>
      <c r="J72" s="60">
        <f t="shared" si="16"/>
        <v>0</v>
      </c>
      <c r="K72" s="60">
        <f t="shared" si="17"/>
        <v>0</v>
      </c>
      <c r="L72" s="60">
        <f t="shared" si="18"/>
        <v>0</v>
      </c>
      <c r="M72" s="60">
        <f t="shared" si="19"/>
        <v>0</v>
      </c>
      <c r="N72" s="61" t="s">
        <v>458</v>
      </c>
      <c r="O72" s="72"/>
      <c r="P72" s="61"/>
      <c r="Q72" s="61"/>
      <c r="R72" s="61"/>
      <c r="S72" s="61"/>
      <c r="T72" s="61"/>
      <c r="U72" s="61"/>
      <c r="V72" s="68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 t="s">
        <v>458</v>
      </c>
      <c r="AR72" s="61"/>
      <c r="AS72" s="61">
        <v>3</v>
      </c>
      <c r="AT72" s="61"/>
      <c r="AU72" s="68"/>
      <c r="AV72" s="61" t="s">
        <v>458</v>
      </c>
      <c r="AW72" s="61"/>
      <c r="AX72" s="61">
        <v>3</v>
      </c>
      <c r="AY72" s="61"/>
      <c r="AZ72" s="61" t="s">
        <v>458</v>
      </c>
      <c r="BA72" s="61"/>
      <c r="BB72" s="80">
        <v>3</v>
      </c>
      <c r="BC72" s="61"/>
      <c r="BD72" s="61" t="s">
        <v>458</v>
      </c>
      <c r="BE72" s="61"/>
      <c r="BF72" s="77"/>
      <c r="BG72" s="61"/>
      <c r="BH72" s="61" t="s">
        <v>458</v>
      </c>
      <c r="BI72" s="61"/>
      <c r="BJ72" s="61"/>
      <c r="BK72" s="61"/>
      <c r="BL72" s="61" t="s">
        <v>458</v>
      </c>
      <c r="BM72" s="61"/>
      <c r="BN72" s="77">
        <v>3</v>
      </c>
      <c r="BO72" s="61"/>
      <c r="BP72" s="61" t="s">
        <v>458</v>
      </c>
      <c r="BQ72" s="61"/>
      <c r="BR72" s="61"/>
      <c r="BS72" s="61"/>
      <c r="BT72" s="68"/>
      <c r="BU72" s="61" t="s">
        <v>458</v>
      </c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86"/>
      <c r="CN72" s="61"/>
      <c r="CO72" s="61"/>
      <c r="CP72" s="61"/>
      <c r="CQ72" s="61"/>
      <c r="CR72" s="61"/>
      <c r="CS72" s="68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86"/>
      <c r="DE72" s="61"/>
      <c r="DF72" s="61"/>
      <c r="DG72" s="61"/>
      <c r="DH72" s="61"/>
      <c r="DI72" s="61"/>
      <c r="DJ72" s="61"/>
      <c r="DK72" s="61"/>
      <c r="DL72" s="80"/>
      <c r="DM72" s="61"/>
      <c r="DN72" s="61"/>
      <c r="DO72" s="61"/>
      <c r="DP72" s="61"/>
      <c r="DQ72" s="61"/>
      <c r="DR72" s="68"/>
    </row>
    <row r="73" spans="1:122" x14ac:dyDescent="0.25">
      <c r="A73" s="59">
        <v>63</v>
      </c>
      <c r="B73" s="72" t="s">
        <v>148</v>
      </c>
      <c r="C73" s="73" t="s">
        <v>149</v>
      </c>
      <c r="D73" s="60">
        <f t="shared" si="6"/>
        <v>10</v>
      </c>
      <c r="E73" s="60">
        <f t="shared" si="20"/>
        <v>9</v>
      </c>
      <c r="F73" s="60">
        <f t="shared" si="13"/>
        <v>3</v>
      </c>
      <c r="G73" s="60">
        <f t="shared" si="14"/>
        <v>0</v>
      </c>
      <c r="H73" s="60">
        <f t="shared" si="21"/>
        <v>8</v>
      </c>
      <c r="I73" s="60">
        <f t="shared" si="15"/>
        <v>0</v>
      </c>
      <c r="J73" s="60">
        <f t="shared" si="16"/>
        <v>0</v>
      </c>
      <c r="K73" s="60">
        <f t="shared" si="17"/>
        <v>0</v>
      </c>
      <c r="L73" s="60">
        <f t="shared" si="18"/>
        <v>0</v>
      </c>
      <c r="M73" s="60">
        <f t="shared" si="19"/>
        <v>0</v>
      </c>
      <c r="N73" s="61" t="s">
        <v>458</v>
      </c>
      <c r="O73" s="72"/>
      <c r="P73" s="61"/>
      <c r="Q73" s="61"/>
      <c r="R73" s="61" t="s">
        <v>458</v>
      </c>
      <c r="S73" s="61"/>
      <c r="T73" s="61"/>
      <c r="U73" s="61"/>
      <c r="V73" s="68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 t="s">
        <v>458</v>
      </c>
      <c r="AR73" s="61"/>
      <c r="AS73" s="61">
        <v>3</v>
      </c>
      <c r="AT73" s="61"/>
      <c r="AU73" s="68">
        <v>8</v>
      </c>
      <c r="AV73" s="61" t="s">
        <v>458</v>
      </c>
      <c r="AW73" s="61"/>
      <c r="AX73" s="61">
        <v>3</v>
      </c>
      <c r="AY73" s="61"/>
      <c r="AZ73" s="61" t="s">
        <v>458</v>
      </c>
      <c r="BA73" s="61"/>
      <c r="BB73" s="80">
        <v>3</v>
      </c>
      <c r="BC73" s="61"/>
      <c r="BD73" s="61" t="s">
        <v>458</v>
      </c>
      <c r="BE73" s="61"/>
      <c r="BF73" s="77"/>
      <c r="BG73" s="61"/>
      <c r="BH73" s="61" t="s">
        <v>458</v>
      </c>
      <c r="BI73" s="61"/>
      <c r="BJ73" s="61"/>
      <c r="BK73" s="61">
        <v>3</v>
      </c>
      <c r="BL73" s="61" t="s">
        <v>458</v>
      </c>
      <c r="BM73" s="61"/>
      <c r="BN73" s="77"/>
      <c r="BO73" s="61"/>
      <c r="BP73" s="61" t="s">
        <v>458</v>
      </c>
      <c r="BQ73" s="61"/>
      <c r="BR73" s="61"/>
      <c r="BS73" s="61"/>
      <c r="BT73" s="68"/>
      <c r="BU73" s="61" t="s">
        <v>458</v>
      </c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86"/>
      <c r="CN73" s="61"/>
      <c r="CO73" s="61"/>
      <c r="CP73" s="61"/>
      <c r="CQ73" s="61"/>
      <c r="CR73" s="61"/>
      <c r="CS73" s="68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86"/>
      <c r="DE73" s="61"/>
      <c r="DF73" s="61"/>
      <c r="DG73" s="61"/>
      <c r="DH73" s="61"/>
      <c r="DI73" s="61"/>
      <c r="DJ73" s="61"/>
      <c r="DK73" s="61"/>
      <c r="DL73" s="80"/>
      <c r="DM73" s="61"/>
      <c r="DN73" s="61"/>
      <c r="DO73" s="61"/>
      <c r="DP73" s="61"/>
      <c r="DQ73" s="61"/>
      <c r="DR73" s="68"/>
    </row>
    <row r="74" spans="1:122" x14ac:dyDescent="0.25">
      <c r="A74" s="59">
        <v>64</v>
      </c>
      <c r="B74" s="72" t="s">
        <v>136</v>
      </c>
      <c r="C74" s="73" t="s">
        <v>137</v>
      </c>
      <c r="D74" s="60">
        <f t="shared" si="6"/>
        <v>20</v>
      </c>
      <c r="E74" s="60">
        <f t="shared" si="20"/>
        <v>45</v>
      </c>
      <c r="F74" s="60">
        <f t="shared" si="13"/>
        <v>3</v>
      </c>
      <c r="G74" s="60">
        <f t="shared" si="14"/>
        <v>0</v>
      </c>
      <c r="H74" s="60">
        <f t="shared" si="21"/>
        <v>0</v>
      </c>
      <c r="I74" s="60">
        <f t="shared" si="15"/>
        <v>0</v>
      </c>
      <c r="J74" s="60">
        <f t="shared" si="16"/>
        <v>0</v>
      </c>
      <c r="K74" s="60">
        <f t="shared" si="17"/>
        <v>0</v>
      </c>
      <c r="L74" s="60">
        <f t="shared" si="18"/>
        <v>0</v>
      </c>
      <c r="M74" s="60">
        <f t="shared" si="19"/>
        <v>0</v>
      </c>
      <c r="N74" s="61"/>
      <c r="O74" s="72"/>
      <c r="P74" s="61"/>
      <c r="Q74" s="61"/>
      <c r="R74" s="61"/>
      <c r="S74" s="61"/>
      <c r="T74" s="61"/>
      <c r="U74" s="61"/>
      <c r="V74" s="68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 t="s">
        <v>458</v>
      </c>
      <c r="AN74" s="61"/>
      <c r="AO74" s="61">
        <v>1</v>
      </c>
      <c r="AP74" s="61"/>
      <c r="AQ74" s="61" t="s">
        <v>458</v>
      </c>
      <c r="AR74" s="61"/>
      <c r="AS74" s="61">
        <v>3</v>
      </c>
      <c r="AT74" s="61"/>
      <c r="AU74" s="68"/>
      <c r="AV74" s="61" t="s">
        <v>458</v>
      </c>
      <c r="AW74" s="61"/>
      <c r="AX74" s="61"/>
      <c r="AY74" s="61"/>
      <c r="AZ74" s="61" t="s">
        <v>458</v>
      </c>
      <c r="BA74" s="61"/>
      <c r="BB74" s="80">
        <v>3</v>
      </c>
      <c r="BC74" s="61"/>
      <c r="BD74" s="61" t="s">
        <v>458</v>
      </c>
      <c r="BE74" s="61"/>
      <c r="BF74" s="77">
        <v>3</v>
      </c>
      <c r="BG74" s="61"/>
      <c r="BH74" s="61" t="s">
        <v>458</v>
      </c>
      <c r="BI74" s="61"/>
      <c r="BJ74" s="61"/>
      <c r="BK74" s="61">
        <v>3</v>
      </c>
      <c r="BL74" s="61" t="s">
        <v>458</v>
      </c>
      <c r="BM74" s="61"/>
      <c r="BN74" s="77">
        <v>3</v>
      </c>
      <c r="BO74" s="61"/>
      <c r="BP74" s="61" t="s">
        <v>458</v>
      </c>
      <c r="BQ74" s="61"/>
      <c r="BR74" s="61"/>
      <c r="BS74" s="61"/>
      <c r="BT74" s="68"/>
      <c r="BU74" s="61" t="s">
        <v>458</v>
      </c>
      <c r="BV74" s="61"/>
      <c r="BW74" s="61">
        <v>3</v>
      </c>
      <c r="BX74" s="61"/>
      <c r="BY74" s="61" t="s">
        <v>458</v>
      </c>
      <c r="BZ74" s="61"/>
      <c r="CA74" s="61">
        <v>3</v>
      </c>
      <c r="CB74" s="61"/>
      <c r="CC74" s="61" t="s">
        <v>458</v>
      </c>
      <c r="CD74" s="61"/>
      <c r="CE74" s="61">
        <f>20.5-17-0.5</f>
        <v>3</v>
      </c>
      <c r="CF74" s="61"/>
      <c r="CG74" s="61" t="s">
        <v>458</v>
      </c>
      <c r="CH74" s="61"/>
      <c r="CI74" s="61">
        <v>3</v>
      </c>
      <c r="CJ74" s="61"/>
      <c r="CK74" s="61" t="s">
        <v>458</v>
      </c>
      <c r="CL74" s="61"/>
      <c r="CM74" s="86"/>
      <c r="CN74" s="61"/>
      <c r="CO74" s="61" t="s">
        <v>458</v>
      </c>
      <c r="CP74" s="61"/>
      <c r="CQ74" s="61">
        <v>1.5</v>
      </c>
      <c r="CR74" s="61"/>
      <c r="CS74" s="68"/>
      <c r="CT74" s="61" t="s">
        <v>458</v>
      </c>
      <c r="CU74" s="61"/>
      <c r="CV74" s="61">
        <v>3</v>
      </c>
      <c r="CW74" s="61"/>
      <c r="CX74" s="61" t="s">
        <v>458</v>
      </c>
      <c r="CY74" s="61"/>
      <c r="CZ74" s="61">
        <v>3</v>
      </c>
      <c r="DA74" s="61"/>
      <c r="DB74" s="61" t="s">
        <v>458</v>
      </c>
      <c r="DC74" s="61"/>
      <c r="DD74" s="86">
        <f>20.5-0.5-17</f>
        <v>3</v>
      </c>
      <c r="DE74" s="61"/>
      <c r="DF74" s="61" t="s">
        <v>458</v>
      </c>
      <c r="DG74" s="61"/>
      <c r="DH74" s="61">
        <v>3</v>
      </c>
      <c r="DI74" s="61"/>
      <c r="DJ74" s="61" t="s">
        <v>458</v>
      </c>
      <c r="DK74" s="61"/>
      <c r="DL74" s="80">
        <v>3</v>
      </c>
      <c r="DM74" s="61"/>
      <c r="DN74" s="61" t="s">
        <v>458</v>
      </c>
      <c r="DO74" s="61"/>
      <c r="DP74" s="61">
        <v>3.5</v>
      </c>
      <c r="DQ74" s="61"/>
      <c r="DR74" s="68"/>
    </row>
    <row r="75" spans="1:122" x14ac:dyDescent="0.25">
      <c r="A75" s="59">
        <v>65</v>
      </c>
      <c r="B75" s="72" t="s">
        <v>164</v>
      </c>
      <c r="C75" s="73" t="s">
        <v>165</v>
      </c>
      <c r="D75" s="60">
        <f t="shared" si="6"/>
        <v>9</v>
      </c>
      <c r="E75" s="60">
        <f>IF(C75="",0,SUMIFS($N75:$DR75,$N$7:$DR$7,$I$2,$N$6:$DR$6,1))</f>
        <v>27.5</v>
      </c>
      <c r="F75" s="60">
        <f>IF(C75="",0,SUMIFS($N75:$DR75,$N$7:$DR$7,$I$3,$N$6:$DR$6,1))</f>
        <v>0</v>
      </c>
      <c r="G75" s="60">
        <f>IF(C75="",0,SUMIFS(N75:DR75,$N$7:$DR$7,"ĐT/VS"))</f>
        <v>0</v>
      </c>
      <c r="H75" s="60">
        <f>IF(E75="",0,SUMIFS($N75:$DR75,$N$7:$DR$7,$I$1,$N$6:$DR$6,2))</f>
        <v>0</v>
      </c>
      <c r="I75" s="60">
        <f>COUNTIF($N75:$DR75,$R$2)</f>
        <v>0</v>
      </c>
      <c r="J75" s="60">
        <f>COUNTIF($N75:$DR75,$O$3)</f>
        <v>0</v>
      </c>
      <c r="K75" s="60">
        <f>COUNTIF($N75:$DQ75,$R$1)</f>
        <v>0</v>
      </c>
      <c r="L75" s="60">
        <f>COUNTIF($N75:$DQ75,$O$2)</f>
        <v>0</v>
      </c>
      <c r="M75" s="60">
        <f>COUNTIF($N75:$DQ75,$O$1)</f>
        <v>0</v>
      </c>
      <c r="N75" s="61"/>
      <c r="O75" s="72"/>
      <c r="P75" s="61"/>
      <c r="Q75" s="61"/>
      <c r="R75" s="61"/>
      <c r="S75" s="61"/>
      <c r="T75" s="61"/>
      <c r="U75" s="61"/>
      <c r="V75" s="68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8"/>
      <c r="AV75" s="61"/>
      <c r="AW75" s="61"/>
      <c r="AX75" s="61"/>
      <c r="AY75" s="61"/>
      <c r="AZ75" s="61"/>
      <c r="BA75" s="61"/>
      <c r="BB75" s="80"/>
      <c r="BC75" s="61"/>
      <c r="BD75" s="61"/>
      <c r="BE75" s="61"/>
      <c r="BF75" s="77"/>
      <c r="BG75" s="61"/>
      <c r="BH75" s="61"/>
      <c r="BI75" s="61"/>
      <c r="BJ75" s="61"/>
      <c r="BK75" s="61"/>
      <c r="BL75" s="61"/>
      <c r="BM75" s="61"/>
      <c r="BN75" s="77"/>
      <c r="BO75" s="61"/>
      <c r="BP75" s="61"/>
      <c r="BQ75" s="61"/>
      <c r="BR75" s="61"/>
      <c r="BS75" s="61"/>
      <c r="BT75" s="68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 t="s">
        <v>458</v>
      </c>
      <c r="CH75" s="61"/>
      <c r="CI75" s="61">
        <f>21-17-0.5</f>
        <v>3.5</v>
      </c>
      <c r="CJ75" s="61"/>
      <c r="CK75" s="61" t="s">
        <v>458</v>
      </c>
      <c r="CL75" s="61"/>
      <c r="CM75" s="86">
        <f>21-17-0.5</f>
        <v>3.5</v>
      </c>
      <c r="CN75" s="61"/>
      <c r="CO75" s="61" t="s">
        <v>458</v>
      </c>
      <c r="CP75" s="61"/>
      <c r="CQ75" s="61">
        <v>1</v>
      </c>
      <c r="CR75" s="61"/>
      <c r="CS75" s="68"/>
      <c r="CT75" s="61" t="s">
        <v>458</v>
      </c>
      <c r="CU75" s="61"/>
      <c r="CV75" s="61">
        <v>3.5</v>
      </c>
      <c r="CW75" s="61"/>
      <c r="CX75" s="61" t="s">
        <v>458</v>
      </c>
      <c r="CY75" s="61"/>
      <c r="CZ75" s="61">
        <v>3</v>
      </c>
      <c r="DA75" s="61"/>
      <c r="DB75" s="61" t="s">
        <v>458</v>
      </c>
      <c r="DC75" s="61"/>
      <c r="DD75" s="86">
        <v>4</v>
      </c>
      <c r="DE75" s="61"/>
      <c r="DF75" s="61" t="s">
        <v>458</v>
      </c>
      <c r="DG75" s="61"/>
      <c r="DH75" s="61">
        <v>3</v>
      </c>
      <c r="DI75" s="61"/>
      <c r="DJ75" s="61" t="s">
        <v>458</v>
      </c>
      <c r="DK75" s="61"/>
      <c r="DL75" s="80">
        <v>3.5</v>
      </c>
      <c r="DM75" s="61"/>
      <c r="DN75" s="61" t="s">
        <v>458</v>
      </c>
      <c r="DO75" s="61"/>
      <c r="DP75" s="61">
        <v>2.5</v>
      </c>
      <c r="DQ75" s="61"/>
      <c r="DR75" s="68"/>
    </row>
    <row r="76" spans="1:122" x14ac:dyDescent="0.25">
      <c r="A76" s="59">
        <v>66</v>
      </c>
      <c r="B76" s="72" t="s">
        <v>166</v>
      </c>
      <c r="C76" s="73" t="s">
        <v>167</v>
      </c>
      <c r="D76" s="60">
        <f t="shared" ref="D76:D106" si="22">COUNTIF($N76:$DR76,$L$2)+COUNTIF($N76:$DR76,$L$3)/2</f>
        <v>9</v>
      </c>
      <c r="E76" s="60">
        <f>IF(C76="",0,SUMIFS($N76:$DR76,$N$7:$DR$7,$I$2,$N$6:$DR$6,1))</f>
        <v>28.5</v>
      </c>
      <c r="F76" s="60">
        <f>IF(C76="",0,SUMIFS($N76:$DR76,$N$7:$DR$7,$I$3,$N$6:$DR$6,1))</f>
        <v>0</v>
      </c>
      <c r="G76" s="60">
        <f>IF(C76="",0,SUMIFS(N76:DR76,$N$7:$DR$7,"ĐT/VS"))</f>
        <v>0</v>
      </c>
      <c r="H76" s="60">
        <f>IF(E76="",0,SUMIFS($N76:$DR76,$N$7:$DR$7,$I$1,$N$6:$DR$6,2))</f>
        <v>8</v>
      </c>
      <c r="I76" s="60">
        <f>COUNTIF($N76:$DR76,$R$2)</f>
        <v>0</v>
      </c>
      <c r="J76" s="60">
        <f>COUNTIF($N76:$DR76,$O$3)</f>
        <v>0</v>
      </c>
      <c r="K76" s="60">
        <f>COUNTIF($N76:$DQ76,$R$1)</f>
        <v>0</v>
      </c>
      <c r="L76" s="60">
        <f>COUNTIF($N76:$DQ76,$O$2)</f>
        <v>0</v>
      </c>
      <c r="M76" s="60">
        <f>COUNTIF($N76:$DQ76,$O$1)</f>
        <v>0</v>
      </c>
      <c r="N76" s="62"/>
      <c r="O76" s="72"/>
      <c r="P76" s="62"/>
      <c r="Q76" s="62"/>
      <c r="R76" s="62"/>
      <c r="S76" s="62"/>
      <c r="T76" s="62"/>
      <c r="U76" s="62"/>
      <c r="V76" s="69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9"/>
      <c r="AV76" s="62"/>
      <c r="AW76" s="62"/>
      <c r="AX76" s="62"/>
      <c r="AY76" s="62"/>
      <c r="AZ76" s="62"/>
      <c r="BA76" s="62"/>
      <c r="BB76" s="81"/>
      <c r="BC76" s="62"/>
      <c r="BD76" s="62"/>
      <c r="BE76" s="62"/>
      <c r="BF76" s="78"/>
      <c r="BG76" s="62"/>
      <c r="BH76" s="62"/>
      <c r="BI76" s="62"/>
      <c r="BJ76" s="62"/>
      <c r="BK76" s="62"/>
      <c r="BL76" s="62"/>
      <c r="BM76" s="62"/>
      <c r="BN76" s="78"/>
      <c r="BO76" s="62"/>
      <c r="BP76" s="62"/>
      <c r="BQ76" s="62"/>
      <c r="BR76" s="62"/>
      <c r="BS76" s="62"/>
      <c r="BT76" s="69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 t="s">
        <v>458</v>
      </c>
      <c r="CH76" s="62"/>
      <c r="CI76" s="62">
        <v>3.5</v>
      </c>
      <c r="CJ76" s="62"/>
      <c r="CK76" s="62" t="s">
        <v>458</v>
      </c>
      <c r="CL76" s="62"/>
      <c r="CM76" s="87">
        <v>3.5</v>
      </c>
      <c r="CN76" s="62"/>
      <c r="CO76" s="62" t="s">
        <v>458</v>
      </c>
      <c r="CP76" s="62"/>
      <c r="CQ76" s="62">
        <v>1</v>
      </c>
      <c r="CR76" s="62"/>
      <c r="CS76" s="68"/>
      <c r="CT76" s="62" t="s">
        <v>458</v>
      </c>
      <c r="CU76" s="62"/>
      <c r="CV76" s="62">
        <v>3.5</v>
      </c>
      <c r="CW76" s="62"/>
      <c r="CX76" s="62" t="s">
        <v>458</v>
      </c>
      <c r="CY76" s="62"/>
      <c r="CZ76" s="62">
        <v>3</v>
      </c>
      <c r="DA76" s="62"/>
      <c r="DB76" s="62" t="s">
        <v>458</v>
      </c>
      <c r="DC76" s="62"/>
      <c r="DD76" s="87">
        <v>4</v>
      </c>
      <c r="DE76" s="62"/>
      <c r="DF76" s="62" t="s">
        <v>458</v>
      </c>
      <c r="DG76" s="62"/>
      <c r="DH76" s="62">
        <v>3</v>
      </c>
      <c r="DI76" s="62"/>
      <c r="DJ76" s="62" t="s">
        <v>458</v>
      </c>
      <c r="DK76" s="62"/>
      <c r="DL76" s="81">
        <v>3.5</v>
      </c>
      <c r="DM76" s="62"/>
      <c r="DN76" s="62" t="s">
        <v>458</v>
      </c>
      <c r="DO76" s="62"/>
      <c r="DP76" s="62">
        <v>3.5</v>
      </c>
      <c r="DQ76" s="62"/>
      <c r="DR76" s="68">
        <v>8</v>
      </c>
    </row>
    <row r="77" spans="1:122" x14ac:dyDescent="0.25">
      <c r="A77" s="59">
        <v>67</v>
      </c>
      <c r="B77" s="72" t="s">
        <v>160</v>
      </c>
      <c r="C77" s="73" t="s">
        <v>161</v>
      </c>
      <c r="D77" s="60">
        <f t="shared" si="22"/>
        <v>8</v>
      </c>
      <c r="E77" s="60">
        <f t="shared" si="20"/>
        <v>11.5</v>
      </c>
      <c r="F77" s="60">
        <f t="shared" ref="F77:F78" si="23">IF(C77="",0,SUMIFS($N77:$DR77,$N$7:$DR$7,$I$3,$N$6:$DR$6,1))</f>
        <v>0</v>
      </c>
      <c r="G77" s="60">
        <f t="shared" ref="G77:G78" si="24">IF(C77="",0,SUMIFS(N77:DR77,$N$7:$DR$7,"ĐT/VS"))</f>
        <v>0</v>
      </c>
      <c r="H77" s="60">
        <f t="shared" si="21"/>
        <v>0</v>
      </c>
      <c r="I77" s="60">
        <f t="shared" ref="I77:I89" si="25">COUNTIF($N77:$DR77,$R$2)</f>
        <v>0</v>
      </c>
      <c r="J77" s="60">
        <f t="shared" ref="J77:J78" si="26">COUNTIF($N77:$DR77,$O$3)</f>
        <v>1</v>
      </c>
      <c r="K77" s="60">
        <f t="shared" ref="K77:K89" si="27">COUNTIF($N77:$DQ77,$R$1)</f>
        <v>0</v>
      </c>
      <c r="L77" s="60">
        <f t="shared" ref="L77:L78" si="28">COUNTIF($N77:$DQ77,$O$2)</f>
        <v>0</v>
      </c>
      <c r="M77" s="60">
        <f t="shared" ref="M77:M78" si="29">COUNTIF($N77:$DQ77,$O$1)</f>
        <v>0</v>
      </c>
      <c r="N77" s="61"/>
      <c r="O77" s="72"/>
      <c r="P77" s="61"/>
      <c r="Q77" s="61"/>
      <c r="R77" s="61"/>
      <c r="S77" s="61"/>
      <c r="T77" s="61"/>
      <c r="U77" s="61"/>
      <c r="V77" s="68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8"/>
      <c r="AV77" s="61"/>
      <c r="AW77" s="61"/>
      <c r="AX77" s="61"/>
      <c r="AY77" s="61"/>
      <c r="AZ77" s="61"/>
      <c r="BA77" s="61"/>
      <c r="BB77" s="80"/>
      <c r="BC77" s="61"/>
      <c r="BD77" s="61"/>
      <c r="BE77" s="61"/>
      <c r="BF77" s="77"/>
      <c r="BG77" s="61"/>
      <c r="BH77" s="61"/>
      <c r="BI77" s="61"/>
      <c r="BJ77" s="61"/>
      <c r="BK77" s="61"/>
      <c r="BL77" s="61"/>
      <c r="BM77" s="61"/>
      <c r="BN77" s="77"/>
      <c r="BO77" s="61"/>
      <c r="BP77" s="61"/>
      <c r="BQ77" s="61"/>
      <c r="BR77" s="61"/>
      <c r="BS77" s="61"/>
      <c r="BT77" s="68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 t="s">
        <v>458</v>
      </c>
      <c r="CH77" s="61"/>
      <c r="CI77" s="61"/>
      <c r="CJ77" s="61"/>
      <c r="CK77" s="61" t="s">
        <v>458</v>
      </c>
      <c r="CL77" s="61"/>
      <c r="CM77" s="86"/>
      <c r="CN77" s="61"/>
      <c r="CO77" s="61" t="s">
        <v>458</v>
      </c>
      <c r="CP77" s="61"/>
      <c r="CQ77" s="61">
        <v>1.5</v>
      </c>
      <c r="CR77" s="61"/>
      <c r="CS77" s="68"/>
      <c r="CT77" s="61" t="s">
        <v>458</v>
      </c>
      <c r="CU77" s="61"/>
      <c r="CV77" s="61">
        <v>3.5</v>
      </c>
      <c r="CW77" s="61"/>
      <c r="CX77" s="61" t="s">
        <v>458</v>
      </c>
      <c r="CY77" s="61"/>
      <c r="CZ77" s="61">
        <v>3</v>
      </c>
      <c r="DA77" s="61"/>
      <c r="DB77" s="61" t="s">
        <v>458</v>
      </c>
      <c r="DC77" s="61"/>
      <c r="DD77" s="86">
        <v>3.5</v>
      </c>
      <c r="DE77" s="61"/>
      <c r="DF77" s="61" t="s">
        <v>13</v>
      </c>
      <c r="DG77" s="61"/>
      <c r="DH77" s="61"/>
      <c r="DI77" s="61"/>
      <c r="DJ77" s="61" t="s">
        <v>458</v>
      </c>
      <c r="DK77" s="61"/>
      <c r="DL77" s="80"/>
      <c r="DM77" s="61"/>
      <c r="DN77" s="61" t="s">
        <v>458</v>
      </c>
      <c r="DO77" s="61"/>
      <c r="DP77" s="61"/>
      <c r="DQ77" s="61"/>
      <c r="DR77" s="68"/>
    </row>
    <row r="78" spans="1:122" x14ac:dyDescent="0.25">
      <c r="A78" s="59">
        <v>68</v>
      </c>
      <c r="B78" s="72" t="s">
        <v>162</v>
      </c>
      <c r="C78" s="73" t="s">
        <v>163</v>
      </c>
      <c r="D78" s="60">
        <f t="shared" si="22"/>
        <v>7</v>
      </c>
      <c r="E78" s="60">
        <f t="shared" si="20"/>
        <v>19</v>
      </c>
      <c r="F78" s="60">
        <f t="shared" si="23"/>
        <v>0</v>
      </c>
      <c r="G78" s="60">
        <f t="shared" si="24"/>
        <v>0</v>
      </c>
      <c r="H78" s="60">
        <f t="shared" si="21"/>
        <v>16</v>
      </c>
      <c r="I78" s="60">
        <f t="shared" si="25"/>
        <v>0</v>
      </c>
      <c r="J78" s="60">
        <f t="shared" si="26"/>
        <v>0</v>
      </c>
      <c r="K78" s="60">
        <f t="shared" si="27"/>
        <v>0</v>
      </c>
      <c r="L78" s="60">
        <f t="shared" si="28"/>
        <v>0</v>
      </c>
      <c r="M78" s="60">
        <f t="shared" si="29"/>
        <v>0</v>
      </c>
      <c r="N78" s="61"/>
      <c r="O78" s="72"/>
      <c r="P78" s="61"/>
      <c r="Q78" s="61"/>
      <c r="R78" s="61"/>
      <c r="S78" s="61"/>
      <c r="T78" s="61"/>
      <c r="U78" s="61"/>
      <c r="V78" s="68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8"/>
      <c r="AV78" s="61"/>
      <c r="AW78" s="61"/>
      <c r="AX78" s="61"/>
      <c r="AY78" s="61"/>
      <c r="AZ78" s="61"/>
      <c r="BA78" s="61"/>
      <c r="BB78" s="80"/>
      <c r="BC78" s="61"/>
      <c r="BD78" s="61"/>
      <c r="BE78" s="61"/>
      <c r="BF78" s="77"/>
      <c r="BG78" s="61"/>
      <c r="BH78" s="61"/>
      <c r="BI78" s="61"/>
      <c r="BJ78" s="61"/>
      <c r="BK78" s="61"/>
      <c r="BL78" s="61"/>
      <c r="BM78" s="61"/>
      <c r="BN78" s="77"/>
      <c r="BO78" s="61"/>
      <c r="BP78" s="61"/>
      <c r="BQ78" s="61"/>
      <c r="BR78" s="61"/>
      <c r="BS78" s="61"/>
      <c r="BT78" s="68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86"/>
      <c r="CN78" s="61"/>
      <c r="CO78" s="61" t="s">
        <v>458</v>
      </c>
      <c r="CP78" s="61"/>
      <c r="CQ78" s="61"/>
      <c r="CR78" s="61"/>
      <c r="CS78" s="68">
        <v>8</v>
      </c>
      <c r="CT78" s="61" t="s">
        <v>458</v>
      </c>
      <c r="CU78" s="61"/>
      <c r="CV78" s="61">
        <v>3.5</v>
      </c>
      <c r="CW78" s="61"/>
      <c r="CX78" s="61" t="s">
        <v>458</v>
      </c>
      <c r="CY78" s="61"/>
      <c r="CZ78" s="61">
        <v>3</v>
      </c>
      <c r="DA78" s="61"/>
      <c r="DB78" s="61" t="s">
        <v>458</v>
      </c>
      <c r="DC78" s="61"/>
      <c r="DD78" s="86">
        <v>3.5</v>
      </c>
      <c r="DE78" s="61"/>
      <c r="DF78" s="61" t="s">
        <v>458</v>
      </c>
      <c r="DG78" s="61"/>
      <c r="DH78" s="61">
        <v>3</v>
      </c>
      <c r="DI78" s="61"/>
      <c r="DJ78" s="61" t="s">
        <v>458</v>
      </c>
      <c r="DK78" s="61"/>
      <c r="DL78" s="80">
        <v>3.5</v>
      </c>
      <c r="DM78" s="61"/>
      <c r="DN78" s="61" t="s">
        <v>458</v>
      </c>
      <c r="DO78" s="61"/>
      <c r="DP78" s="61">
        <v>2.5</v>
      </c>
      <c r="DQ78" s="61"/>
      <c r="DR78" s="68">
        <v>8</v>
      </c>
    </row>
    <row r="79" spans="1:122" x14ac:dyDescent="0.25">
      <c r="A79" s="59">
        <v>69</v>
      </c>
      <c r="B79" s="72" t="s">
        <v>488</v>
      </c>
      <c r="C79" s="73" t="s">
        <v>490</v>
      </c>
      <c r="D79" s="60">
        <f t="shared" si="22"/>
        <v>10</v>
      </c>
      <c r="E79" s="60">
        <f>IF(C79="",0,SUMIFS($N79:$DR79,$N$7:$DR$7,$I$2,$N$6:$DR$6,1))</f>
        <v>28.5</v>
      </c>
      <c r="F79" s="60">
        <f>IF(C79="",0,SUMIFS($N79:$DR79,$N$7:$DR$7,$I$3,$N$6:$DR$6,1))</f>
        <v>0</v>
      </c>
      <c r="G79" s="60">
        <f>IF(C79="",0,SUMIFS(N79:DR79,$N$7:$DR$7,"ĐT/VS"))</f>
        <v>0</v>
      </c>
      <c r="H79" s="60">
        <f>IF(E79="",0,SUMIFS($N79:$DR79,$N$7:$DR$7,$I$1,$N$6:$DR$6,2))</f>
        <v>8</v>
      </c>
      <c r="I79" s="60">
        <f>COUNTIF($N79:$DR79,$R$2)</f>
        <v>0</v>
      </c>
      <c r="J79" s="60">
        <f>COUNTIF($N79:$DR79,$O$3)</f>
        <v>0</v>
      </c>
      <c r="K79" s="60">
        <f>COUNTIF($N79:$DQ79,$R$1)</f>
        <v>0</v>
      </c>
      <c r="L79" s="60">
        <f>COUNTIF($N79:$DQ79,$O$2)</f>
        <v>0</v>
      </c>
      <c r="M79" s="60">
        <f>COUNTIF($N79:$DQ79,$O$1)</f>
        <v>0</v>
      </c>
      <c r="N79" s="72"/>
      <c r="O79" s="72"/>
      <c r="P79" s="72"/>
      <c r="Q79" s="72"/>
      <c r="R79" s="72"/>
      <c r="S79" s="72"/>
      <c r="T79" s="72"/>
      <c r="U79" s="72"/>
      <c r="V79" s="11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69"/>
      <c r="AV79" s="72"/>
      <c r="AW79" s="72"/>
      <c r="AX79" s="72"/>
      <c r="AY79" s="72"/>
      <c r="AZ79" s="72"/>
      <c r="BA79" s="72"/>
      <c r="BB79" s="113"/>
      <c r="BC79" s="72"/>
      <c r="BD79" s="72"/>
      <c r="BE79" s="72"/>
      <c r="BF79" s="117"/>
      <c r="BG79" s="72"/>
      <c r="BH79" s="72"/>
      <c r="BI79" s="72"/>
      <c r="BJ79" s="72"/>
      <c r="BK79" s="72"/>
      <c r="BL79" s="72"/>
      <c r="BM79" s="72"/>
      <c r="BN79" s="117"/>
      <c r="BO79" s="72"/>
      <c r="BP79" s="72"/>
      <c r="BQ79" s="72"/>
      <c r="BR79" s="72"/>
      <c r="BS79" s="72"/>
      <c r="BT79" s="69"/>
      <c r="BU79" s="72"/>
      <c r="BV79" s="72"/>
      <c r="BW79" s="72"/>
      <c r="BX79" s="72"/>
      <c r="BY79" s="72"/>
      <c r="BZ79" s="72"/>
      <c r="CA79" s="72"/>
      <c r="CB79" s="72"/>
      <c r="CC79" s="72" t="s">
        <v>458</v>
      </c>
      <c r="CD79" s="72"/>
      <c r="CE79" s="72">
        <v>3.5</v>
      </c>
      <c r="CF79" s="72"/>
      <c r="CG79" s="72" t="s">
        <v>458</v>
      </c>
      <c r="CH79" s="72"/>
      <c r="CI79" s="72">
        <v>3.5</v>
      </c>
      <c r="CJ79" s="72"/>
      <c r="CK79" s="72" t="s">
        <v>458</v>
      </c>
      <c r="CL79" s="72"/>
      <c r="CM79" s="114">
        <v>3.5</v>
      </c>
      <c r="CN79" s="72"/>
      <c r="CO79" s="72" t="s">
        <v>458</v>
      </c>
      <c r="CP79" s="72"/>
      <c r="CQ79" s="72">
        <v>1.5</v>
      </c>
      <c r="CR79" s="72"/>
      <c r="CS79" s="68">
        <v>8</v>
      </c>
      <c r="CT79" s="72" t="s">
        <v>458</v>
      </c>
      <c r="CU79" s="72"/>
      <c r="CV79" s="72">
        <v>4</v>
      </c>
      <c r="CW79" s="72"/>
      <c r="CX79" s="72" t="s">
        <v>458</v>
      </c>
      <c r="CY79" s="72"/>
      <c r="CZ79" s="72">
        <v>3</v>
      </c>
      <c r="DA79" s="72"/>
      <c r="DB79" s="72" t="s">
        <v>458</v>
      </c>
      <c r="DC79" s="72"/>
      <c r="DD79" s="114">
        <v>1</v>
      </c>
      <c r="DE79" s="72"/>
      <c r="DF79" s="72" t="s">
        <v>458</v>
      </c>
      <c r="DG79" s="72"/>
      <c r="DH79" s="72">
        <v>3.5</v>
      </c>
      <c r="DI79" s="72"/>
      <c r="DJ79" s="72" t="s">
        <v>458</v>
      </c>
      <c r="DK79" s="72"/>
      <c r="DL79" s="113">
        <v>4</v>
      </c>
      <c r="DM79" s="72"/>
      <c r="DN79" s="72" t="s">
        <v>458</v>
      </c>
      <c r="DO79" s="72"/>
      <c r="DP79" s="72">
        <v>1</v>
      </c>
      <c r="DQ79" s="72"/>
      <c r="DR79" s="68"/>
    </row>
    <row r="80" spans="1:122" x14ac:dyDescent="0.25">
      <c r="A80" s="59">
        <v>70</v>
      </c>
      <c r="B80" s="72" t="s">
        <v>491</v>
      </c>
      <c r="C80" s="73" t="s">
        <v>492</v>
      </c>
      <c r="D80" s="60">
        <f t="shared" si="22"/>
        <v>5</v>
      </c>
      <c r="E80" s="60">
        <f>IF(C80="",0,SUMIFS($N80:$DR80,$N$7:$DR$7,$I$2,$N$6:$DR$6,1))</f>
        <v>17.5</v>
      </c>
      <c r="F80" s="60">
        <f>IF(C80="",0,SUMIFS($N80:$DR80,$N$7:$DR$7,$I$3,$N$6:$DR$6,1))</f>
        <v>0</v>
      </c>
      <c r="G80" s="60">
        <f>IF(C80="",0,SUMIFS(N80:DR80,$N$7:$DR$7,"ĐT/VS"))</f>
        <v>0</v>
      </c>
      <c r="H80" s="60">
        <f>IF(E80="",0,SUMIFS($N80:$DR80,$N$7:$DR$7,$I$1,$N$6:$DR$6,2))</f>
        <v>8</v>
      </c>
      <c r="I80" s="60">
        <f>COUNTIF($N80:$DR80,$R$2)</f>
        <v>0</v>
      </c>
      <c r="J80" s="60">
        <f>COUNTIF($N80:$DR80,$O$3)</f>
        <v>0</v>
      </c>
      <c r="K80" s="60">
        <f>COUNTIF($N80:$DQ80,$R$1)</f>
        <v>0</v>
      </c>
      <c r="L80" s="60">
        <f>COUNTIF($N80:$DQ80,$O$2)</f>
        <v>0</v>
      </c>
      <c r="M80" s="60">
        <f>COUNTIF($N80:$DQ80,$O$1)</f>
        <v>0</v>
      </c>
      <c r="N80" s="72"/>
      <c r="O80" s="72"/>
      <c r="P80" s="72"/>
      <c r="Q80" s="72"/>
      <c r="R80" s="72"/>
      <c r="S80" s="72"/>
      <c r="T80" s="72"/>
      <c r="U80" s="72"/>
      <c r="V80" s="11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69"/>
      <c r="AV80" s="72"/>
      <c r="AW80" s="72"/>
      <c r="AX80" s="72"/>
      <c r="AY80" s="72"/>
      <c r="AZ80" s="72"/>
      <c r="BA80" s="72"/>
      <c r="BB80" s="113"/>
      <c r="BC80" s="72"/>
      <c r="BD80" s="72"/>
      <c r="BE80" s="72"/>
      <c r="BF80" s="117"/>
      <c r="BG80" s="72"/>
      <c r="BH80" s="72"/>
      <c r="BI80" s="72"/>
      <c r="BJ80" s="72"/>
      <c r="BK80" s="72"/>
      <c r="BL80" s="72"/>
      <c r="BM80" s="72"/>
      <c r="BN80" s="117"/>
      <c r="BO80" s="72"/>
      <c r="BP80" s="72"/>
      <c r="BQ80" s="72"/>
      <c r="BR80" s="72"/>
      <c r="BS80" s="72"/>
      <c r="BT80" s="69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114"/>
      <c r="CN80" s="72"/>
      <c r="CO80" s="72"/>
      <c r="CP80" s="72"/>
      <c r="CQ80" s="72"/>
      <c r="CR80" s="72"/>
      <c r="CS80" s="68"/>
      <c r="CT80" s="72"/>
      <c r="CU80" s="72"/>
      <c r="CV80" s="72"/>
      <c r="CW80" s="72"/>
      <c r="CX80" s="72" t="s">
        <v>458</v>
      </c>
      <c r="CY80" s="72"/>
      <c r="CZ80" s="72">
        <v>3</v>
      </c>
      <c r="DA80" s="72"/>
      <c r="DB80" s="72" t="s">
        <v>458</v>
      </c>
      <c r="DC80" s="72"/>
      <c r="DD80" s="114">
        <v>4</v>
      </c>
      <c r="DE80" s="72"/>
      <c r="DF80" s="72" t="s">
        <v>458</v>
      </c>
      <c r="DG80" s="72"/>
      <c r="DH80" s="72">
        <v>3</v>
      </c>
      <c r="DI80" s="72"/>
      <c r="DJ80" s="72" t="s">
        <v>458</v>
      </c>
      <c r="DK80" s="72"/>
      <c r="DL80" s="113">
        <v>4</v>
      </c>
      <c r="DM80" s="72"/>
      <c r="DN80" s="72" t="s">
        <v>458</v>
      </c>
      <c r="DO80" s="72"/>
      <c r="DP80" s="72">
        <v>3.5</v>
      </c>
      <c r="DQ80" s="72"/>
      <c r="DR80" s="68">
        <v>8</v>
      </c>
    </row>
    <row r="81" spans="1:122" x14ac:dyDescent="0.25">
      <c r="A81" s="59">
        <v>71</v>
      </c>
      <c r="B81" s="72" t="s">
        <v>493</v>
      </c>
      <c r="C81" s="73" t="s">
        <v>494</v>
      </c>
      <c r="D81" s="60">
        <f t="shared" si="22"/>
        <v>3</v>
      </c>
      <c r="E81" s="60">
        <f>IF(C81="",0,SUMIFS($N81:$DR81,$N$7:$DR$7,$I$2,$N$6:$DR$6,1))</f>
        <v>7</v>
      </c>
      <c r="F81" s="60">
        <f>IF(C81="",0,SUMIFS($N81:$DR81,$N$7:$DR$7,$I$3,$N$6:$DR$6,1))</f>
        <v>0</v>
      </c>
      <c r="G81" s="60">
        <f>IF(C81="",0,SUMIFS(N81:DR81,$N$7:$DR$7,"ĐT/VS"))</f>
        <v>0</v>
      </c>
      <c r="H81" s="60">
        <f>IF(E81="",0,SUMIFS($N81:$DR81,$N$7:$DR$7,$I$1,$N$6:$DR$6,2))</f>
        <v>0</v>
      </c>
      <c r="I81" s="60">
        <f>COUNTIF($N81:$DR81,$R$2)</f>
        <v>0</v>
      </c>
      <c r="J81" s="60">
        <f>COUNTIF($N81:$DR81,$O$3)</f>
        <v>0</v>
      </c>
      <c r="K81" s="60">
        <f>COUNTIF($N81:$DQ81,$R$1)</f>
        <v>0</v>
      </c>
      <c r="L81" s="60">
        <f>COUNTIF($N81:$DQ81,$O$2)</f>
        <v>0</v>
      </c>
      <c r="M81" s="60">
        <f>COUNTIF($N81:$DQ81,$O$1)</f>
        <v>0</v>
      </c>
      <c r="N81" s="72"/>
      <c r="O81" s="72"/>
      <c r="P81" s="72"/>
      <c r="Q81" s="72"/>
      <c r="R81" s="72"/>
      <c r="S81" s="72"/>
      <c r="T81" s="72"/>
      <c r="U81" s="72"/>
      <c r="V81" s="11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69"/>
      <c r="AV81" s="72"/>
      <c r="AW81" s="72"/>
      <c r="AX81" s="72"/>
      <c r="AY81" s="72"/>
      <c r="AZ81" s="72"/>
      <c r="BA81" s="72"/>
      <c r="BB81" s="113"/>
      <c r="BC81" s="72"/>
      <c r="BD81" s="72"/>
      <c r="BE81" s="72"/>
      <c r="BF81" s="117"/>
      <c r="BG81" s="72"/>
      <c r="BH81" s="72"/>
      <c r="BI81" s="72"/>
      <c r="BJ81" s="72"/>
      <c r="BK81" s="72"/>
      <c r="BL81" s="72"/>
      <c r="BM81" s="72"/>
      <c r="BN81" s="117"/>
      <c r="BO81" s="72"/>
      <c r="BP81" s="72"/>
      <c r="BQ81" s="72"/>
      <c r="BR81" s="72"/>
      <c r="BS81" s="72"/>
      <c r="BT81" s="69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114"/>
      <c r="CN81" s="72"/>
      <c r="CO81" s="72"/>
      <c r="CP81" s="72"/>
      <c r="CQ81" s="72"/>
      <c r="CR81" s="72"/>
      <c r="CS81" s="68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114"/>
      <c r="DE81" s="72"/>
      <c r="DF81" s="72" t="s">
        <v>458</v>
      </c>
      <c r="DG81" s="72"/>
      <c r="DH81" s="72">
        <v>3</v>
      </c>
      <c r="DI81" s="72"/>
      <c r="DJ81" s="72" t="s">
        <v>458</v>
      </c>
      <c r="DK81" s="72"/>
      <c r="DL81" s="113">
        <v>4</v>
      </c>
      <c r="DM81" s="72"/>
      <c r="DN81" s="72" t="s">
        <v>458</v>
      </c>
      <c r="DO81" s="72"/>
      <c r="DP81" s="72"/>
      <c r="DQ81" s="72"/>
      <c r="DR81" s="68"/>
    </row>
    <row r="82" spans="1:122" x14ac:dyDescent="0.25">
      <c r="A82" s="59">
        <v>72</v>
      </c>
      <c r="B82" s="72" t="s">
        <v>495</v>
      </c>
      <c r="C82" s="73" t="s">
        <v>497</v>
      </c>
      <c r="D82" s="60">
        <f t="shared" si="22"/>
        <v>3</v>
      </c>
      <c r="E82" s="60">
        <f>IF(C82="",0,SUMIFS($N82:$DR82,$N$7:$DR$7,$I$2,$N$6:$DR$6,1))</f>
        <v>10</v>
      </c>
      <c r="F82" s="60">
        <f>IF(C82="",0,SUMIFS($N82:$DR82,$N$7:$DR$7,$I$3,$N$6:$DR$6,1))</f>
        <v>0</v>
      </c>
      <c r="G82" s="60">
        <f>IF(C82="",0,SUMIFS(N82:DR82,$N$7:$DR$7,"ĐT/VS"))</f>
        <v>0</v>
      </c>
      <c r="H82" s="60">
        <f>IF(E82="",0,SUMIFS($N82:$DR82,$N$7:$DR$7,$I$1,$N$6:$DR$6,2))</f>
        <v>8</v>
      </c>
      <c r="I82" s="60">
        <f>COUNTIF($N82:$DR82,$R$2)</f>
        <v>0</v>
      </c>
      <c r="J82" s="60">
        <f>COUNTIF($N82:$DR82,$O$3)</f>
        <v>0</v>
      </c>
      <c r="K82" s="60">
        <f>COUNTIF($N82:$DQ82,$R$1)</f>
        <v>0</v>
      </c>
      <c r="L82" s="60">
        <f>COUNTIF($N82:$DQ82,$O$2)</f>
        <v>0</v>
      </c>
      <c r="M82" s="60">
        <f>COUNTIF($N82:$DQ82,$O$1)</f>
        <v>0</v>
      </c>
      <c r="N82" s="72"/>
      <c r="O82" s="72"/>
      <c r="P82" s="72"/>
      <c r="Q82" s="72"/>
      <c r="R82" s="72"/>
      <c r="S82" s="72"/>
      <c r="T82" s="72"/>
      <c r="U82" s="72"/>
      <c r="V82" s="11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69"/>
      <c r="AV82" s="72"/>
      <c r="AW82" s="72"/>
      <c r="AX82" s="72"/>
      <c r="AY82" s="72"/>
      <c r="AZ82" s="72"/>
      <c r="BA82" s="72"/>
      <c r="BB82" s="113"/>
      <c r="BC82" s="72"/>
      <c r="BD82" s="72"/>
      <c r="BE82" s="72"/>
      <c r="BF82" s="117"/>
      <c r="BG82" s="72"/>
      <c r="BH82" s="72"/>
      <c r="BI82" s="72"/>
      <c r="BJ82" s="72"/>
      <c r="BK82" s="72"/>
      <c r="BL82" s="72"/>
      <c r="BM82" s="72"/>
      <c r="BN82" s="117"/>
      <c r="BO82" s="72"/>
      <c r="BP82" s="72"/>
      <c r="BQ82" s="72"/>
      <c r="BR82" s="72"/>
      <c r="BS82" s="72"/>
      <c r="BT82" s="69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114"/>
      <c r="CN82" s="72"/>
      <c r="CO82" s="72"/>
      <c r="CP82" s="72"/>
      <c r="CQ82" s="72"/>
      <c r="CR82" s="72"/>
      <c r="CS82" s="68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114"/>
      <c r="DE82" s="72"/>
      <c r="DF82" s="72" t="s">
        <v>458</v>
      </c>
      <c r="DG82" s="72"/>
      <c r="DH82" s="72">
        <v>3</v>
      </c>
      <c r="DI82" s="72"/>
      <c r="DJ82" s="72" t="s">
        <v>458</v>
      </c>
      <c r="DK82" s="72"/>
      <c r="DL82" s="113">
        <v>3.5</v>
      </c>
      <c r="DM82" s="72"/>
      <c r="DN82" s="72" t="s">
        <v>458</v>
      </c>
      <c r="DO82" s="72"/>
      <c r="DP82" s="72">
        <v>3.5</v>
      </c>
      <c r="DQ82" s="72"/>
      <c r="DR82" s="68">
        <v>8</v>
      </c>
    </row>
    <row r="83" spans="1:122" x14ac:dyDescent="0.25">
      <c r="A83" s="59">
        <v>73</v>
      </c>
      <c r="B83" s="72" t="s">
        <v>496</v>
      </c>
      <c r="C83" s="73" t="s">
        <v>498</v>
      </c>
      <c r="D83" s="60">
        <f t="shared" si="22"/>
        <v>3</v>
      </c>
      <c r="E83" s="60">
        <f>IF(C83="",0,SUMIFS($N83:$DR83,$N$7:$DR$7,$I$2,$N$6:$DR$6,1))</f>
        <v>10</v>
      </c>
      <c r="F83" s="60">
        <f>IF(C83="",0,SUMIFS($N83:$DR83,$N$7:$DR$7,$I$3,$N$6:$DR$6,1))</f>
        <v>0</v>
      </c>
      <c r="G83" s="60">
        <f>IF(C83="",0,SUMIFS(N83:DR83,$N$7:$DR$7,"ĐT/VS"))</f>
        <v>0</v>
      </c>
      <c r="H83" s="60">
        <f>IF(E83="",0,SUMIFS($N83:$DR83,$N$7:$DR$7,$I$1,$N$6:$DR$6,2))</f>
        <v>8</v>
      </c>
      <c r="I83" s="60">
        <f>COUNTIF($N83:$DR83,$R$2)</f>
        <v>0</v>
      </c>
      <c r="J83" s="60">
        <f>COUNTIF($N83:$DR83,$O$3)</f>
        <v>0</v>
      </c>
      <c r="K83" s="60">
        <f>COUNTIF($N83:$DQ83,$R$1)</f>
        <v>0</v>
      </c>
      <c r="L83" s="60">
        <f>COUNTIF($N83:$DQ83,$O$2)</f>
        <v>0</v>
      </c>
      <c r="M83" s="60">
        <f>COUNTIF($N83:$DQ83,$O$1)</f>
        <v>0</v>
      </c>
      <c r="N83" s="72"/>
      <c r="O83" s="72"/>
      <c r="P83" s="72"/>
      <c r="Q83" s="72"/>
      <c r="R83" s="72"/>
      <c r="S83" s="72"/>
      <c r="T83" s="72"/>
      <c r="U83" s="72"/>
      <c r="V83" s="11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69"/>
      <c r="AV83" s="72"/>
      <c r="AW83" s="72"/>
      <c r="AX83" s="72"/>
      <c r="AY83" s="72"/>
      <c r="AZ83" s="72"/>
      <c r="BA83" s="72"/>
      <c r="BB83" s="113"/>
      <c r="BC83" s="72"/>
      <c r="BD83" s="72"/>
      <c r="BE83" s="72"/>
      <c r="BF83" s="117"/>
      <c r="BG83" s="72"/>
      <c r="BH83" s="72"/>
      <c r="BI83" s="72"/>
      <c r="BJ83" s="72"/>
      <c r="BK83" s="72"/>
      <c r="BL83" s="72"/>
      <c r="BM83" s="72"/>
      <c r="BN83" s="117"/>
      <c r="BO83" s="72"/>
      <c r="BP83" s="72"/>
      <c r="BQ83" s="72"/>
      <c r="BR83" s="72"/>
      <c r="BS83" s="72"/>
      <c r="BT83" s="69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114"/>
      <c r="CN83" s="72"/>
      <c r="CO83" s="72"/>
      <c r="CP83" s="72"/>
      <c r="CQ83" s="72"/>
      <c r="CR83" s="72"/>
      <c r="CS83" s="68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114"/>
      <c r="DE83" s="72"/>
      <c r="DF83" s="72" t="s">
        <v>458</v>
      </c>
      <c r="DG83" s="72"/>
      <c r="DH83" s="72">
        <v>3</v>
      </c>
      <c r="DI83" s="72"/>
      <c r="DJ83" s="72" t="s">
        <v>458</v>
      </c>
      <c r="DK83" s="72"/>
      <c r="DL83" s="113">
        <v>3.5</v>
      </c>
      <c r="DM83" s="72"/>
      <c r="DN83" s="72" t="s">
        <v>458</v>
      </c>
      <c r="DO83" s="72"/>
      <c r="DP83" s="72">
        <v>3.5</v>
      </c>
      <c r="DQ83" s="72"/>
      <c r="DR83" s="68">
        <v>8</v>
      </c>
    </row>
    <row r="84" spans="1:122" x14ac:dyDescent="0.25">
      <c r="A84" s="59">
        <v>74</v>
      </c>
      <c r="B84" s="72" t="s">
        <v>469</v>
      </c>
      <c r="C84" s="73" t="s">
        <v>470</v>
      </c>
      <c r="D84" s="60">
        <f t="shared" si="22"/>
        <v>5</v>
      </c>
      <c r="E84" s="60">
        <f t="shared" si="20"/>
        <v>17</v>
      </c>
      <c r="F84" s="60">
        <f t="shared" ref="F84" si="30">IF(C84="",0,SUMIFS($N84:$DR84,$N$7:$DR$7,$I$3,$N$6:$DR$6,1))</f>
        <v>0</v>
      </c>
      <c r="G84" s="60">
        <f t="shared" ref="G84" si="31">IF(C84="",0,SUMIFS(N84:DR84,$N$7:$DR$7,"ĐT/VS"))</f>
        <v>0</v>
      </c>
      <c r="H84" s="60">
        <f t="shared" si="21"/>
        <v>0</v>
      </c>
      <c r="I84" s="60">
        <f t="shared" si="25"/>
        <v>0</v>
      </c>
      <c r="J84" s="60">
        <f t="shared" ref="J84:J89" si="32">COUNTIF($N84:$DR84,$O$3)</f>
        <v>0</v>
      </c>
      <c r="K84" s="60">
        <f t="shared" si="27"/>
        <v>0</v>
      </c>
      <c r="L84" s="60">
        <f t="shared" ref="L84:L89" si="33">COUNTIF($N84:$DQ84,$O$2)</f>
        <v>0</v>
      </c>
      <c r="M84" s="60">
        <f t="shared" ref="M84:M89" si="34">COUNTIF($N84:$DQ84,$O$1)</f>
        <v>0</v>
      </c>
      <c r="N84" s="72" t="s">
        <v>458</v>
      </c>
      <c r="O84" s="72"/>
      <c r="P84" s="72">
        <v>4.5</v>
      </c>
      <c r="Q84" s="72"/>
      <c r="R84" s="72" t="s">
        <v>458</v>
      </c>
      <c r="S84" s="72"/>
      <c r="T84" s="72">
        <v>3.5</v>
      </c>
      <c r="U84" s="72"/>
      <c r="V84" s="112"/>
      <c r="W84" s="72" t="s">
        <v>458</v>
      </c>
      <c r="X84" s="72"/>
      <c r="Y84" s="72">
        <v>4.5</v>
      </c>
      <c r="Z84" s="72"/>
      <c r="AA84" s="72" t="s">
        <v>458</v>
      </c>
      <c r="AB84" s="72"/>
      <c r="AC84" s="72">
        <v>4.5</v>
      </c>
      <c r="AD84" s="72"/>
      <c r="AE84" s="72" t="s">
        <v>458</v>
      </c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68"/>
      <c r="AV84" s="72"/>
      <c r="AW84" s="72"/>
      <c r="AX84" s="72"/>
      <c r="AY84" s="72"/>
      <c r="AZ84" s="72"/>
      <c r="BA84" s="72"/>
      <c r="BB84" s="113"/>
      <c r="BC84" s="72"/>
      <c r="BD84" s="72"/>
      <c r="BE84" s="72"/>
      <c r="BF84" s="117"/>
      <c r="BG84" s="72"/>
      <c r="BH84" s="72"/>
      <c r="BI84" s="72"/>
      <c r="BJ84" s="72"/>
      <c r="BK84" s="72"/>
      <c r="BL84" s="72"/>
      <c r="BM84" s="72"/>
      <c r="BN84" s="117"/>
      <c r="BO84" s="72"/>
      <c r="BP84" s="72"/>
      <c r="BQ84" s="72"/>
      <c r="BR84" s="72"/>
      <c r="BS84" s="72"/>
      <c r="BT84" s="69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114"/>
      <c r="CN84" s="72"/>
      <c r="CO84" s="72"/>
      <c r="CP84" s="72"/>
      <c r="CQ84" s="72"/>
      <c r="CR84" s="72"/>
      <c r="CS84" s="68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114"/>
      <c r="DE84" s="72"/>
      <c r="DF84" s="72"/>
      <c r="DG84" s="72"/>
      <c r="DH84" s="72"/>
      <c r="DI84" s="72"/>
      <c r="DJ84" s="72"/>
      <c r="DK84" s="72"/>
      <c r="DL84" s="113"/>
      <c r="DM84" s="72"/>
      <c r="DN84" s="72"/>
      <c r="DO84" s="72"/>
      <c r="DP84" s="72"/>
      <c r="DQ84" s="72"/>
      <c r="DR84" s="68"/>
    </row>
    <row r="85" spans="1:122" x14ac:dyDescent="0.25">
      <c r="A85" s="59">
        <v>75</v>
      </c>
      <c r="B85" s="72" t="s">
        <v>476</v>
      </c>
      <c r="C85" s="73" t="s">
        <v>468</v>
      </c>
      <c r="D85" s="60">
        <f t="shared" si="22"/>
        <v>5</v>
      </c>
      <c r="E85" s="60">
        <f t="shared" si="20"/>
        <v>5</v>
      </c>
      <c r="F85" s="60">
        <f t="shared" ref="F85" si="35">IF(C85="",0,SUMIFS($N85:$DR85,$N$7:$DR$7,$I$3,$N$6:$DR$6,1))</f>
        <v>0</v>
      </c>
      <c r="G85" s="60">
        <f t="shared" ref="G85" si="36">IF(C85="",0,SUMIFS(N85:DR85,$N$7:$DR$7,"ĐT/VS"))</f>
        <v>0</v>
      </c>
      <c r="H85" s="60">
        <f t="shared" si="21"/>
        <v>0</v>
      </c>
      <c r="I85" s="60">
        <f t="shared" si="25"/>
        <v>0</v>
      </c>
      <c r="J85" s="60">
        <f t="shared" si="32"/>
        <v>0</v>
      </c>
      <c r="K85" s="60">
        <f t="shared" si="27"/>
        <v>0</v>
      </c>
      <c r="L85" s="60">
        <f t="shared" si="33"/>
        <v>0</v>
      </c>
      <c r="M85" s="60">
        <f t="shared" si="34"/>
        <v>0</v>
      </c>
      <c r="N85" s="72" t="s">
        <v>458</v>
      </c>
      <c r="O85" s="72"/>
      <c r="P85" s="72">
        <v>1</v>
      </c>
      <c r="Q85" s="72"/>
      <c r="R85" s="72" t="s">
        <v>458</v>
      </c>
      <c r="S85" s="72"/>
      <c r="T85" s="72">
        <v>4</v>
      </c>
      <c r="U85" s="72"/>
      <c r="V85" s="112"/>
      <c r="W85" s="72" t="s">
        <v>458</v>
      </c>
      <c r="X85" s="72"/>
      <c r="Y85" s="72"/>
      <c r="Z85" s="72"/>
      <c r="AA85" s="72" t="s">
        <v>458</v>
      </c>
      <c r="AB85" s="72"/>
      <c r="AC85" s="72"/>
      <c r="AD85" s="72"/>
      <c r="AE85" s="72" t="s">
        <v>458</v>
      </c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69"/>
      <c r="AV85" s="72"/>
      <c r="AW85" s="72"/>
      <c r="AX85" s="72"/>
      <c r="AY85" s="72"/>
      <c r="AZ85" s="72"/>
      <c r="BA85" s="72"/>
      <c r="BB85" s="113"/>
      <c r="BC85" s="72"/>
      <c r="BD85" s="72"/>
      <c r="BE85" s="72"/>
      <c r="BF85" s="117"/>
      <c r="BG85" s="72"/>
      <c r="BH85" s="72"/>
      <c r="BI85" s="72"/>
      <c r="BJ85" s="72"/>
      <c r="BK85" s="72"/>
      <c r="BL85" s="72"/>
      <c r="BM85" s="72"/>
      <c r="BN85" s="117"/>
      <c r="BO85" s="72"/>
      <c r="BP85" s="72"/>
      <c r="BQ85" s="72"/>
      <c r="BR85" s="72"/>
      <c r="BS85" s="72"/>
      <c r="BT85" s="69"/>
      <c r="BU85" s="72"/>
      <c r="BV85" s="72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2"/>
      <c r="CL85" s="72"/>
      <c r="CM85" s="114"/>
      <c r="CN85" s="72"/>
      <c r="CO85" s="72"/>
      <c r="CP85" s="72"/>
      <c r="CQ85" s="72"/>
      <c r="CR85" s="72"/>
      <c r="CS85" s="68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114"/>
      <c r="DE85" s="72"/>
      <c r="DF85" s="72"/>
      <c r="DG85" s="72"/>
      <c r="DH85" s="72"/>
      <c r="DI85" s="72"/>
      <c r="DJ85" s="72"/>
      <c r="DK85" s="72"/>
      <c r="DL85" s="113"/>
      <c r="DM85" s="72"/>
      <c r="DN85" s="72"/>
      <c r="DO85" s="72"/>
      <c r="DP85" s="72"/>
      <c r="DQ85" s="72"/>
      <c r="DR85" s="68"/>
    </row>
    <row r="86" spans="1:122" x14ac:dyDescent="0.25">
      <c r="A86" s="59">
        <v>76</v>
      </c>
      <c r="B86" s="72" t="s">
        <v>484</v>
      </c>
      <c r="C86" s="73" t="s">
        <v>103</v>
      </c>
      <c r="D86" s="60">
        <f t="shared" si="22"/>
        <v>2</v>
      </c>
      <c r="E86" s="60">
        <f t="shared" si="20"/>
        <v>7.5</v>
      </c>
      <c r="F86" s="60">
        <f t="shared" ref="F86:F89" si="37">IF(C86="",0,SUMIFS($N86:$DR86,$N$7:$DR$7,$I$3,$N$6:$DR$6,1))</f>
        <v>0</v>
      </c>
      <c r="G86" s="60">
        <f t="shared" ref="G86:G89" si="38">IF(C86="",0,SUMIFS(N86:DR86,$N$7:$DR$7,"ĐT/VS"))</f>
        <v>0</v>
      </c>
      <c r="H86" s="60">
        <f t="shared" si="21"/>
        <v>9.5</v>
      </c>
      <c r="I86" s="60">
        <f t="shared" si="25"/>
        <v>0</v>
      </c>
      <c r="J86" s="60">
        <f t="shared" si="32"/>
        <v>0</v>
      </c>
      <c r="K86" s="60">
        <f t="shared" si="27"/>
        <v>0</v>
      </c>
      <c r="L86" s="60">
        <f t="shared" si="33"/>
        <v>0</v>
      </c>
      <c r="M86" s="60">
        <f t="shared" si="34"/>
        <v>0</v>
      </c>
      <c r="N86" s="72"/>
      <c r="O86" s="72"/>
      <c r="P86" s="72"/>
      <c r="Q86" s="72"/>
      <c r="R86" s="72"/>
      <c r="S86" s="72"/>
      <c r="T86" s="72"/>
      <c r="U86" s="72"/>
      <c r="V86" s="11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 t="s">
        <v>458</v>
      </c>
      <c r="AR86" s="72"/>
      <c r="AS86" s="72">
        <v>4</v>
      </c>
      <c r="AT86" s="72"/>
      <c r="AU86" s="69">
        <v>9.5</v>
      </c>
      <c r="AV86" s="72" t="s">
        <v>458</v>
      </c>
      <c r="AW86" s="72"/>
      <c r="AX86" s="72">
        <v>3.5</v>
      </c>
      <c r="AY86" s="72"/>
      <c r="AZ86" s="72"/>
      <c r="BA86" s="72"/>
      <c r="BB86" s="113"/>
      <c r="BC86" s="72"/>
      <c r="BD86" s="72"/>
      <c r="BE86" s="72"/>
      <c r="BF86" s="117"/>
      <c r="BG86" s="72"/>
      <c r="BH86" s="72"/>
      <c r="BI86" s="72"/>
      <c r="BJ86" s="72"/>
      <c r="BK86" s="72"/>
      <c r="BL86" s="72"/>
      <c r="BM86" s="72"/>
      <c r="BN86" s="117"/>
      <c r="BO86" s="72"/>
      <c r="BP86" s="72"/>
      <c r="BQ86" s="72"/>
      <c r="BR86" s="72"/>
      <c r="BS86" s="72"/>
      <c r="BT86" s="69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114"/>
      <c r="CN86" s="72"/>
      <c r="CO86" s="72"/>
      <c r="CP86" s="72"/>
      <c r="CQ86" s="72"/>
      <c r="CR86" s="72"/>
      <c r="CS86" s="68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114"/>
      <c r="DE86" s="72"/>
      <c r="DF86" s="72"/>
      <c r="DG86" s="72"/>
      <c r="DH86" s="72"/>
      <c r="DI86" s="72"/>
      <c r="DJ86" s="72"/>
      <c r="DK86" s="72"/>
      <c r="DL86" s="113"/>
      <c r="DM86" s="72"/>
      <c r="DN86" s="72"/>
      <c r="DO86" s="72"/>
      <c r="DP86" s="72"/>
      <c r="DQ86" s="72"/>
      <c r="DR86" s="68"/>
    </row>
    <row r="87" spans="1:122" x14ac:dyDescent="0.25">
      <c r="A87" s="59">
        <v>77</v>
      </c>
      <c r="B87" s="72" t="s">
        <v>485</v>
      </c>
      <c r="C87" s="73" t="s">
        <v>481</v>
      </c>
      <c r="D87" s="60">
        <f t="shared" si="22"/>
        <v>3</v>
      </c>
      <c r="E87" s="60">
        <f t="shared" si="20"/>
        <v>7.5</v>
      </c>
      <c r="F87" s="60">
        <f t="shared" si="37"/>
        <v>0</v>
      </c>
      <c r="G87" s="60">
        <f t="shared" si="38"/>
        <v>0</v>
      </c>
      <c r="H87" s="60">
        <f t="shared" si="21"/>
        <v>9.5</v>
      </c>
      <c r="I87" s="60">
        <f t="shared" si="25"/>
        <v>0</v>
      </c>
      <c r="J87" s="60">
        <f t="shared" si="32"/>
        <v>0</v>
      </c>
      <c r="K87" s="60">
        <f t="shared" si="27"/>
        <v>0</v>
      </c>
      <c r="L87" s="60">
        <f t="shared" si="33"/>
        <v>0</v>
      </c>
      <c r="M87" s="60">
        <f t="shared" si="34"/>
        <v>0</v>
      </c>
      <c r="N87" s="72"/>
      <c r="O87" s="72"/>
      <c r="P87" s="72"/>
      <c r="Q87" s="72"/>
      <c r="R87" s="72"/>
      <c r="S87" s="72"/>
      <c r="T87" s="72"/>
      <c r="U87" s="72"/>
      <c r="V87" s="11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 t="s">
        <v>458</v>
      </c>
      <c r="AR87" s="72"/>
      <c r="AS87" s="72">
        <v>4</v>
      </c>
      <c r="AT87" s="72"/>
      <c r="AU87" s="68">
        <v>9.5</v>
      </c>
      <c r="AV87" s="72" t="s">
        <v>458</v>
      </c>
      <c r="AW87" s="72"/>
      <c r="AX87" s="72">
        <v>3.5</v>
      </c>
      <c r="AY87" s="72"/>
      <c r="AZ87" s="72"/>
      <c r="BA87" s="72"/>
      <c r="BB87" s="113"/>
      <c r="BC87" s="72"/>
      <c r="BD87" s="72"/>
      <c r="BE87" s="72"/>
      <c r="BF87" s="117"/>
      <c r="BG87" s="72"/>
      <c r="BH87" s="72" t="s">
        <v>458</v>
      </c>
      <c r="BI87" s="72"/>
      <c r="BJ87" s="72"/>
      <c r="BK87" s="72"/>
      <c r="BL87" s="72"/>
      <c r="BM87" s="72"/>
      <c r="BN87" s="117"/>
      <c r="BO87" s="72"/>
      <c r="BP87" s="72"/>
      <c r="BQ87" s="72"/>
      <c r="BR87" s="72"/>
      <c r="BS87" s="72"/>
      <c r="BT87" s="69"/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114"/>
      <c r="CN87" s="72"/>
      <c r="CO87" s="72"/>
      <c r="CP87" s="72"/>
      <c r="CQ87" s="72"/>
      <c r="CR87" s="72"/>
      <c r="CS87" s="68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114"/>
      <c r="DE87" s="72"/>
      <c r="DF87" s="72"/>
      <c r="DG87" s="72"/>
      <c r="DH87" s="72"/>
      <c r="DI87" s="72"/>
      <c r="DJ87" s="72"/>
      <c r="DK87" s="72"/>
      <c r="DL87" s="113"/>
      <c r="DM87" s="72"/>
      <c r="DN87" s="72"/>
      <c r="DO87" s="72"/>
      <c r="DP87" s="72"/>
      <c r="DQ87" s="72"/>
      <c r="DR87" s="68"/>
    </row>
    <row r="88" spans="1:122" x14ac:dyDescent="0.25">
      <c r="A88" s="59">
        <v>78</v>
      </c>
      <c r="B88" s="72" t="s">
        <v>486</v>
      </c>
      <c r="C88" s="73" t="s">
        <v>483</v>
      </c>
      <c r="D88" s="60">
        <f t="shared" si="22"/>
        <v>5</v>
      </c>
      <c r="E88" s="60">
        <f t="shared" si="20"/>
        <v>6</v>
      </c>
      <c r="F88" s="60">
        <f t="shared" si="37"/>
        <v>0</v>
      </c>
      <c r="G88" s="60">
        <f t="shared" si="38"/>
        <v>0</v>
      </c>
      <c r="H88" s="60">
        <f t="shared" si="21"/>
        <v>0</v>
      </c>
      <c r="I88" s="60">
        <f t="shared" si="25"/>
        <v>0</v>
      </c>
      <c r="J88" s="60">
        <f t="shared" si="32"/>
        <v>0</v>
      </c>
      <c r="K88" s="60">
        <f t="shared" si="27"/>
        <v>0</v>
      </c>
      <c r="L88" s="60">
        <f t="shared" si="33"/>
        <v>0</v>
      </c>
      <c r="M88" s="60">
        <f t="shared" si="34"/>
        <v>0</v>
      </c>
      <c r="N88" s="72"/>
      <c r="O88" s="72"/>
      <c r="P88" s="72"/>
      <c r="Q88" s="72"/>
      <c r="R88" s="72"/>
      <c r="S88" s="72"/>
      <c r="T88" s="72"/>
      <c r="U88" s="72"/>
      <c r="V88" s="11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69"/>
      <c r="AV88" s="72"/>
      <c r="AW88" s="72"/>
      <c r="AX88" s="72"/>
      <c r="AY88" s="72"/>
      <c r="AZ88" s="72"/>
      <c r="BA88" s="72"/>
      <c r="BB88" s="113">
        <v>3</v>
      </c>
      <c r="BC88" s="72"/>
      <c r="BD88" s="72" t="s">
        <v>458</v>
      </c>
      <c r="BE88" s="72"/>
      <c r="BF88" s="117"/>
      <c r="BG88" s="72"/>
      <c r="BH88" s="72" t="s">
        <v>458</v>
      </c>
      <c r="BI88" s="72"/>
      <c r="BJ88" s="72"/>
      <c r="BK88" s="72"/>
      <c r="BL88" s="72" t="s">
        <v>458</v>
      </c>
      <c r="BM88" s="72"/>
      <c r="BN88" s="117">
        <v>3</v>
      </c>
      <c r="BO88" s="72"/>
      <c r="BP88" s="72" t="s">
        <v>458</v>
      </c>
      <c r="BQ88" s="72"/>
      <c r="BR88" s="72"/>
      <c r="BS88" s="72"/>
      <c r="BT88" s="69"/>
      <c r="BU88" s="72" t="s">
        <v>458</v>
      </c>
      <c r="BV88" s="72"/>
      <c r="BW88" s="72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72"/>
      <c r="CL88" s="72"/>
      <c r="CM88" s="114"/>
      <c r="CN88" s="72"/>
      <c r="CO88" s="72"/>
      <c r="CP88" s="72"/>
      <c r="CQ88" s="72"/>
      <c r="CR88" s="72"/>
      <c r="CS88" s="68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114"/>
      <c r="DE88" s="72"/>
      <c r="DF88" s="72"/>
      <c r="DG88" s="72"/>
      <c r="DH88" s="72"/>
      <c r="DI88" s="72"/>
      <c r="DJ88" s="72"/>
      <c r="DK88" s="72"/>
      <c r="DL88" s="113"/>
      <c r="DM88" s="72"/>
      <c r="DN88" s="72"/>
      <c r="DO88" s="72"/>
      <c r="DP88" s="72"/>
      <c r="DQ88" s="72"/>
      <c r="DR88" s="68"/>
    </row>
    <row r="89" spans="1:122" x14ac:dyDescent="0.25">
      <c r="A89" s="59">
        <v>79</v>
      </c>
      <c r="B89" s="72" t="s">
        <v>487</v>
      </c>
      <c r="C89" s="73" t="s">
        <v>489</v>
      </c>
      <c r="D89" s="60">
        <f t="shared" si="22"/>
        <v>0</v>
      </c>
      <c r="E89" s="60">
        <f t="shared" si="20"/>
        <v>0</v>
      </c>
      <c r="F89" s="60">
        <f t="shared" si="37"/>
        <v>0</v>
      </c>
      <c r="G89" s="60">
        <f t="shared" si="38"/>
        <v>0</v>
      </c>
      <c r="H89" s="60">
        <f t="shared" si="21"/>
        <v>0</v>
      </c>
      <c r="I89" s="60">
        <f t="shared" si="25"/>
        <v>0</v>
      </c>
      <c r="J89" s="60">
        <f t="shared" si="32"/>
        <v>0</v>
      </c>
      <c r="K89" s="60">
        <f t="shared" si="27"/>
        <v>0</v>
      </c>
      <c r="L89" s="60">
        <f t="shared" si="33"/>
        <v>0</v>
      </c>
      <c r="M89" s="60">
        <f t="shared" si="34"/>
        <v>0</v>
      </c>
      <c r="N89" s="72"/>
      <c r="O89" s="72"/>
      <c r="P89" s="72"/>
      <c r="Q89" s="72"/>
      <c r="R89" s="72"/>
      <c r="S89" s="72"/>
      <c r="T89" s="72"/>
      <c r="U89" s="72"/>
      <c r="V89" s="11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68"/>
      <c r="AV89" s="72"/>
      <c r="AW89" s="72"/>
      <c r="AX89" s="72"/>
      <c r="AY89" s="72"/>
      <c r="AZ89" s="72"/>
      <c r="BA89" s="72"/>
      <c r="BB89" s="113"/>
      <c r="BC89" s="72"/>
      <c r="BD89" s="72"/>
      <c r="BE89" s="72"/>
      <c r="BF89" s="117"/>
      <c r="BG89" s="72"/>
      <c r="BH89" s="72"/>
      <c r="BI89" s="72"/>
      <c r="BJ89" s="72"/>
      <c r="BK89" s="72"/>
      <c r="BL89" s="72"/>
      <c r="BM89" s="72"/>
      <c r="BN89" s="117"/>
      <c r="BO89" s="72"/>
      <c r="BP89" s="72"/>
      <c r="BQ89" s="72"/>
      <c r="BR89" s="72"/>
      <c r="BS89" s="72"/>
      <c r="BT89" s="69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  <c r="CM89" s="114"/>
      <c r="CN89" s="72"/>
      <c r="CO89" s="72"/>
      <c r="CP89" s="72"/>
      <c r="CQ89" s="72"/>
      <c r="CR89" s="72"/>
      <c r="CS89" s="68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114"/>
      <c r="DE89" s="72"/>
      <c r="DF89" s="72"/>
      <c r="DG89" s="72"/>
      <c r="DH89" s="72"/>
      <c r="DI89" s="72"/>
      <c r="DJ89" s="72"/>
      <c r="DK89" s="72"/>
      <c r="DL89" s="113"/>
      <c r="DM89" s="72"/>
      <c r="DN89" s="72"/>
      <c r="DO89" s="72"/>
      <c r="DP89" s="72"/>
      <c r="DQ89" s="72"/>
      <c r="DR89" s="68"/>
    </row>
    <row r="90" spans="1:122" x14ac:dyDescent="0.25">
      <c r="A90" s="368" t="s">
        <v>520</v>
      </c>
      <c r="B90" s="369"/>
      <c r="C90" s="37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72"/>
      <c r="O90" s="72"/>
      <c r="P90" s="72"/>
      <c r="Q90" s="72"/>
      <c r="R90" s="72"/>
      <c r="S90" s="72"/>
      <c r="T90" s="72"/>
      <c r="U90" s="72"/>
      <c r="V90" s="11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68"/>
      <c r="AV90" s="72"/>
      <c r="AW90" s="72"/>
      <c r="AX90" s="72"/>
      <c r="AY90" s="72"/>
      <c r="AZ90" s="72"/>
      <c r="BA90" s="72"/>
      <c r="BB90" s="113"/>
      <c r="BC90" s="72"/>
      <c r="BD90" s="72"/>
      <c r="BE90" s="72"/>
      <c r="BF90" s="117"/>
      <c r="BG90" s="72"/>
      <c r="BH90" s="72"/>
      <c r="BI90" s="72"/>
      <c r="BJ90" s="72"/>
      <c r="BK90" s="72"/>
      <c r="BL90" s="72"/>
      <c r="BM90" s="72"/>
      <c r="BN90" s="117"/>
      <c r="BO90" s="72"/>
      <c r="BP90" s="72"/>
      <c r="BQ90" s="72"/>
      <c r="BR90" s="72"/>
      <c r="BS90" s="72"/>
      <c r="BT90" s="69"/>
      <c r="BU90" s="72"/>
      <c r="BV90" s="72"/>
      <c r="BW90" s="72"/>
      <c r="BX90" s="72"/>
      <c r="BY90" s="72"/>
      <c r="BZ90" s="72"/>
      <c r="CA90" s="72"/>
      <c r="CB90" s="72"/>
      <c r="CC90" s="72"/>
      <c r="CD90" s="72"/>
      <c r="CE90" s="72"/>
      <c r="CF90" s="72"/>
      <c r="CG90" s="72"/>
      <c r="CH90" s="72"/>
      <c r="CI90" s="72"/>
      <c r="CJ90" s="72"/>
      <c r="CK90" s="72"/>
      <c r="CL90" s="72"/>
      <c r="CM90" s="114"/>
      <c r="CN90" s="72"/>
      <c r="CO90" s="72"/>
      <c r="CP90" s="72"/>
      <c r="CQ90" s="72"/>
      <c r="CR90" s="72"/>
      <c r="CS90" s="68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114"/>
      <c r="DE90" s="72"/>
      <c r="DF90" s="72"/>
      <c r="DG90" s="72"/>
      <c r="DH90" s="72"/>
      <c r="DI90" s="72"/>
      <c r="DJ90" s="72"/>
      <c r="DK90" s="72"/>
      <c r="DL90" s="113"/>
      <c r="DM90" s="72"/>
      <c r="DN90" s="72"/>
      <c r="DO90" s="72"/>
      <c r="DP90" s="72"/>
      <c r="DQ90" s="72"/>
      <c r="DR90" s="68"/>
    </row>
    <row r="91" spans="1:122" x14ac:dyDescent="0.25">
      <c r="A91" s="59">
        <v>80</v>
      </c>
      <c r="B91" s="72" t="s">
        <v>466</v>
      </c>
      <c r="C91" s="73" t="s">
        <v>467</v>
      </c>
      <c r="D91" s="60">
        <f t="shared" si="22"/>
        <v>26</v>
      </c>
      <c r="E91" s="60">
        <f t="shared" ref="E91:E99" si="39">IF(C91="",0,SUMIFS($N91:$DR91,$N$7:$DR$7,$I$2,$N$6:$DR$6,1))</f>
        <v>4.5</v>
      </c>
      <c r="F91" s="60">
        <f t="shared" ref="F91:F99" si="40">IF(C91="",0,SUMIFS($N91:$DR91,$N$7:$DR$7,$I$3,$N$6:$DR$6,1))</f>
        <v>0</v>
      </c>
      <c r="G91" s="60">
        <f t="shared" ref="G91:G97" si="41">IF(C91="",0,SUMIFS(N91:DR91,$N$7:$DR$7,"ĐT/VS"))</f>
        <v>0</v>
      </c>
      <c r="H91" s="60">
        <f t="shared" ref="H91:H99" si="42">IF(E91="",0,SUMIFS($N91:$DR91,$N$7:$DR$7,$I$1,$N$6:$DR$6,2))</f>
        <v>22</v>
      </c>
      <c r="I91" s="60">
        <f t="shared" ref="I91:I99" si="43">COUNTIF($N91:$DR91,$R$2)</f>
        <v>0</v>
      </c>
      <c r="J91" s="60">
        <f t="shared" ref="J91:J99" si="44">COUNTIF($N91:$DR91,$O$3)</f>
        <v>0</v>
      </c>
      <c r="K91" s="60">
        <f t="shared" ref="K91:K99" si="45">COUNTIF($N91:$DQ91,$R$1)</f>
        <v>0</v>
      </c>
      <c r="L91" s="60">
        <f t="shared" ref="L91:L99" si="46">COUNTIF($N91:$DQ91,$O$2)</f>
        <v>0</v>
      </c>
      <c r="M91" s="60">
        <f t="shared" ref="M91:M99" si="47">COUNTIF($N91:$DQ91,$O$1)</f>
        <v>0</v>
      </c>
      <c r="N91" s="72" t="s">
        <v>458</v>
      </c>
      <c r="O91" s="72"/>
      <c r="P91" s="72"/>
      <c r="Q91" s="72"/>
      <c r="R91" s="72" t="s">
        <v>458</v>
      </c>
      <c r="S91" s="72"/>
      <c r="T91" s="72"/>
      <c r="U91" s="72"/>
      <c r="V91" s="112"/>
      <c r="W91" s="72" t="s">
        <v>458</v>
      </c>
      <c r="X91" s="72"/>
      <c r="Y91" s="72"/>
      <c r="Z91" s="72"/>
      <c r="AA91" s="72" t="s">
        <v>458</v>
      </c>
      <c r="AB91" s="72"/>
      <c r="AC91" s="72"/>
      <c r="AD91" s="72"/>
      <c r="AE91" s="72" t="s">
        <v>458</v>
      </c>
      <c r="AF91" s="72"/>
      <c r="AG91" s="72"/>
      <c r="AH91" s="72"/>
      <c r="AI91" s="72" t="s">
        <v>458</v>
      </c>
      <c r="AJ91" s="72"/>
      <c r="AK91" s="72"/>
      <c r="AL91" s="72"/>
      <c r="AM91" s="72" t="s">
        <v>458</v>
      </c>
      <c r="AN91" s="72"/>
      <c r="AO91" s="72"/>
      <c r="AP91" s="72"/>
      <c r="AQ91" s="72" t="s">
        <v>458</v>
      </c>
      <c r="AR91" s="72"/>
      <c r="AS91" s="72"/>
      <c r="AT91" s="72"/>
      <c r="AU91" s="69"/>
      <c r="AV91" s="72" t="s">
        <v>458</v>
      </c>
      <c r="AW91" s="72"/>
      <c r="AX91" s="72"/>
      <c r="AY91" s="72"/>
      <c r="AZ91" s="72" t="s">
        <v>458</v>
      </c>
      <c r="BA91" s="72"/>
      <c r="BB91" s="113"/>
      <c r="BC91" s="72"/>
      <c r="BD91" s="72" t="s">
        <v>458</v>
      </c>
      <c r="BE91" s="72"/>
      <c r="BF91" s="117"/>
      <c r="BG91" s="72"/>
      <c r="BH91" s="72" t="s">
        <v>458</v>
      </c>
      <c r="BI91" s="72"/>
      <c r="BJ91" s="72"/>
      <c r="BK91" s="72"/>
      <c r="BL91" s="72" t="s">
        <v>458</v>
      </c>
      <c r="BM91" s="72"/>
      <c r="BN91" s="117"/>
      <c r="BO91" s="72"/>
      <c r="BP91" s="72" t="s">
        <v>458</v>
      </c>
      <c r="BQ91" s="72"/>
      <c r="BR91" s="72"/>
      <c r="BS91" s="72"/>
      <c r="BT91" s="69">
        <f>18-7.5-1.5</f>
        <v>9</v>
      </c>
      <c r="BU91" s="72" t="s">
        <v>458</v>
      </c>
      <c r="BV91" s="72"/>
      <c r="BW91" s="72"/>
      <c r="BX91" s="72"/>
      <c r="BY91" s="72" t="s">
        <v>458</v>
      </c>
      <c r="BZ91" s="72"/>
      <c r="CA91" s="72"/>
      <c r="CB91" s="72"/>
      <c r="CC91" s="72" t="s">
        <v>458</v>
      </c>
      <c r="CD91" s="72"/>
      <c r="CE91" s="72"/>
      <c r="CF91" s="72"/>
      <c r="CG91" s="72" t="s">
        <v>458</v>
      </c>
      <c r="CH91" s="72"/>
      <c r="CI91" s="72">
        <v>0.5</v>
      </c>
      <c r="CJ91" s="72"/>
      <c r="CK91" s="72" t="s">
        <v>458</v>
      </c>
      <c r="CL91" s="72"/>
      <c r="CM91" s="114">
        <v>1</v>
      </c>
      <c r="CN91" s="72"/>
      <c r="CO91" s="72" t="s">
        <v>458</v>
      </c>
      <c r="CP91" s="72"/>
      <c r="CQ91" s="72">
        <v>0.5</v>
      </c>
      <c r="CR91" s="72"/>
      <c r="CS91" s="68">
        <v>8</v>
      </c>
      <c r="CT91" s="72" t="s">
        <v>458</v>
      </c>
      <c r="CU91" s="72"/>
      <c r="CV91" s="72"/>
      <c r="CW91" s="72"/>
      <c r="CX91" s="72" t="s">
        <v>458</v>
      </c>
      <c r="CY91" s="72"/>
      <c r="CZ91" s="72">
        <v>0.5</v>
      </c>
      <c r="DA91" s="72"/>
      <c r="DB91" s="72" t="s">
        <v>458</v>
      </c>
      <c r="DC91" s="72"/>
      <c r="DD91" s="114">
        <v>0.5</v>
      </c>
      <c r="DE91" s="72"/>
      <c r="DF91" s="72" t="s">
        <v>458</v>
      </c>
      <c r="DG91" s="72"/>
      <c r="DH91" s="72">
        <v>0.5</v>
      </c>
      <c r="DI91" s="72"/>
      <c r="DJ91" s="72" t="s">
        <v>458</v>
      </c>
      <c r="DK91" s="72"/>
      <c r="DL91" s="113"/>
      <c r="DM91" s="72"/>
      <c r="DN91" s="72" t="s">
        <v>458</v>
      </c>
      <c r="DO91" s="72"/>
      <c r="DP91" s="72">
        <v>1</v>
      </c>
      <c r="DQ91" s="72"/>
      <c r="DR91" s="68">
        <v>5</v>
      </c>
    </row>
    <row r="92" spans="1:122" x14ac:dyDescent="0.25">
      <c r="A92" s="59">
        <v>81</v>
      </c>
      <c r="B92" s="72" t="s">
        <v>170</v>
      </c>
      <c r="C92" s="73" t="s">
        <v>171</v>
      </c>
      <c r="D92" s="60">
        <f t="shared" si="22"/>
        <v>26</v>
      </c>
      <c r="E92" s="60">
        <f t="shared" si="39"/>
        <v>18</v>
      </c>
      <c r="F92" s="60">
        <f t="shared" si="40"/>
        <v>0</v>
      </c>
      <c r="G92" s="60">
        <f t="shared" si="41"/>
        <v>0</v>
      </c>
      <c r="H92" s="60">
        <f t="shared" si="42"/>
        <v>25</v>
      </c>
      <c r="I92" s="60">
        <f t="shared" si="43"/>
        <v>0</v>
      </c>
      <c r="J92" s="60">
        <f t="shared" si="44"/>
        <v>0</v>
      </c>
      <c r="K92" s="60">
        <f t="shared" si="45"/>
        <v>0</v>
      </c>
      <c r="L92" s="60">
        <f t="shared" si="46"/>
        <v>0</v>
      </c>
      <c r="M92" s="60">
        <f t="shared" si="47"/>
        <v>0</v>
      </c>
      <c r="N92" s="72" t="s">
        <v>458</v>
      </c>
      <c r="O92" s="72"/>
      <c r="P92" s="72"/>
      <c r="Q92" s="72"/>
      <c r="R92" s="72" t="s">
        <v>458</v>
      </c>
      <c r="S92" s="72"/>
      <c r="T92" s="72"/>
      <c r="U92" s="72"/>
      <c r="V92" s="112"/>
      <c r="W92" s="72" t="s">
        <v>458</v>
      </c>
      <c r="X92" s="72"/>
      <c r="Y92" s="72"/>
      <c r="Z92" s="72"/>
      <c r="AA92" s="72" t="s">
        <v>458</v>
      </c>
      <c r="AB92" s="72"/>
      <c r="AC92" s="72"/>
      <c r="AD92" s="72"/>
      <c r="AE92" s="72" t="s">
        <v>458</v>
      </c>
      <c r="AF92" s="72"/>
      <c r="AG92" s="72">
        <v>1</v>
      </c>
      <c r="AH92" s="72"/>
      <c r="AI92" s="72" t="s">
        <v>458</v>
      </c>
      <c r="AJ92" s="72"/>
      <c r="AK92" s="72">
        <v>1</v>
      </c>
      <c r="AL92" s="72"/>
      <c r="AM92" s="72" t="s">
        <v>458</v>
      </c>
      <c r="AN92" s="72"/>
      <c r="AO92" s="72">
        <f>20-17.5</f>
        <v>2.5</v>
      </c>
      <c r="AP92" s="72"/>
      <c r="AQ92" s="72" t="s">
        <v>458</v>
      </c>
      <c r="AR92" s="72"/>
      <c r="AS92" s="72">
        <v>1</v>
      </c>
      <c r="AT92" s="72"/>
      <c r="AU92" s="69">
        <v>8</v>
      </c>
      <c r="AV92" s="72" t="s">
        <v>458</v>
      </c>
      <c r="AW92" s="72"/>
      <c r="AX92" s="72">
        <v>2</v>
      </c>
      <c r="AY92" s="72"/>
      <c r="AZ92" s="72" t="s">
        <v>458</v>
      </c>
      <c r="BA92" s="72"/>
      <c r="BB92" s="113">
        <v>1</v>
      </c>
      <c r="BC92" s="72"/>
      <c r="BD92" s="72" t="s">
        <v>458</v>
      </c>
      <c r="BE92" s="72"/>
      <c r="BF92" s="117">
        <v>1</v>
      </c>
      <c r="BG92" s="72"/>
      <c r="BH92" s="72" t="s">
        <v>458</v>
      </c>
      <c r="BI92" s="72"/>
      <c r="BJ92" s="72"/>
      <c r="BK92" s="72"/>
      <c r="BL92" s="72" t="s">
        <v>458</v>
      </c>
      <c r="BM92" s="72"/>
      <c r="BN92" s="117">
        <v>1</v>
      </c>
      <c r="BO92" s="72"/>
      <c r="BP92" s="72" t="s">
        <v>458</v>
      </c>
      <c r="BQ92" s="72"/>
      <c r="BR92" s="72"/>
      <c r="BS92" s="72"/>
      <c r="BT92" s="69">
        <v>9</v>
      </c>
      <c r="BU92" s="72" t="s">
        <v>458</v>
      </c>
      <c r="BV92" s="72"/>
      <c r="BW92" s="72"/>
      <c r="BX92" s="72"/>
      <c r="BY92" s="72" t="s">
        <v>458</v>
      </c>
      <c r="BZ92" s="72"/>
      <c r="CA92" s="72">
        <v>1</v>
      </c>
      <c r="CB92" s="72"/>
      <c r="CC92" s="72" t="s">
        <v>458</v>
      </c>
      <c r="CD92" s="72"/>
      <c r="CE92" s="72"/>
      <c r="CF92" s="72"/>
      <c r="CG92" s="72" t="s">
        <v>458</v>
      </c>
      <c r="CH92" s="72"/>
      <c r="CI92" s="72">
        <v>0.5</v>
      </c>
      <c r="CJ92" s="72"/>
      <c r="CK92" s="72" t="s">
        <v>458</v>
      </c>
      <c r="CL92" s="72"/>
      <c r="CM92" s="114">
        <v>1</v>
      </c>
      <c r="CN92" s="72"/>
      <c r="CO92" s="72" t="s">
        <v>458</v>
      </c>
      <c r="CP92" s="72"/>
      <c r="CQ92" s="72">
        <v>1</v>
      </c>
      <c r="CR92" s="72"/>
      <c r="CS92" s="68">
        <v>8</v>
      </c>
      <c r="CT92" s="72" t="s">
        <v>458</v>
      </c>
      <c r="CU92" s="72"/>
      <c r="CV92" s="72"/>
      <c r="CW92" s="72"/>
      <c r="CX92" s="72" t="s">
        <v>458</v>
      </c>
      <c r="CY92" s="72"/>
      <c r="CZ92" s="72">
        <v>0.5</v>
      </c>
      <c r="DA92" s="72"/>
      <c r="DB92" s="72" t="s">
        <v>458</v>
      </c>
      <c r="DC92" s="72"/>
      <c r="DD92" s="114">
        <v>0.5</v>
      </c>
      <c r="DE92" s="72"/>
      <c r="DF92" s="72" t="s">
        <v>458</v>
      </c>
      <c r="DG92" s="72"/>
      <c r="DH92" s="72">
        <v>0.5</v>
      </c>
      <c r="DI92" s="72"/>
      <c r="DJ92" s="72" t="s">
        <v>458</v>
      </c>
      <c r="DK92" s="72"/>
      <c r="DL92" s="113"/>
      <c r="DM92" s="72"/>
      <c r="DN92" s="72" t="s">
        <v>458</v>
      </c>
      <c r="DO92" s="72"/>
      <c r="DP92" s="72">
        <v>2.5</v>
      </c>
      <c r="DQ92" s="72"/>
      <c r="DR92" s="68"/>
    </row>
    <row r="93" spans="1:122" x14ac:dyDescent="0.25">
      <c r="A93" s="59">
        <v>82</v>
      </c>
      <c r="B93" s="72" t="s">
        <v>168</v>
      </c>
      <c r="C93" s="73" t="s">
        <v>169</v>
      </c>
      <c r="D93" s="60">
        <f t="shared" si="22"/>
        <v>26</v>
      </c>
      <c r="E93" s="60">
        <f t="shared" si="39"/>
        <v>15.5</v>
      </c>
      <c r="F93" s="60">
        <f t="shared" si="40"/>
        <v>0</v>
      </c>
      <c r="G93" s="60">
        <f t="shared" si="41"/>
        <v>0</v>
      </c>
      <c r="H93" s="60">
        <f t="shared" si="42"/>
        <v>8</v>
      </c>
      <c r="I93" s="60">
        <f t="shared" si="43"/>
        <v>0</v>
      </c>
      <c r="J93" s="60">
        <f t="shared" si="44"/>
        <v>0</v>
      </c>
      <c r="K93" s="60">
        <f t="shared" si="45"/>
        <v>0</v>
      </c>
      <c r="L93" s="60">
        <f t="shared" si="46"/>
        <v>0</v>
      </c>
      <c r="M93" s="60">
        <f t="shared" si="47"/>
        <v>0</v>
      </c>
      <c r="N93" s="72" t="s">
        <v>458</v>
      </c>
      <c r="O93" s="72"/>
      <c r="P93" s="72"/>
      <c r="Q93" s="72"/>
      <c r="R93" s="72" t="s">
        <v>458</v>
      </c>
      <c r="S93" s="72"/>
      <c r="T93" s="72"/>
      <c r="U93" s="72"/>
      <c r="V93" s="112"/>
      <c r="W93" s="72" t="s">
        <v>458</v>
      </c>
      <c r="X93" s="72"/>
      <c r="Y93" s="72"/>
      <c r="Z93" s="72"/>
      <c r="AA93" s="72" t="s">
        <v>458</v>
      </c>
      <c r="AB93" s="72"/>
      <c r="AC93" s="72"/>
      <c r="AD93" s="72"/>
      <c r="AE93" s="72" t="s">
        <v>458</v>
      </c>
      <c r="AF93" s="72"/>
      <c r="AG93" s="72">
        <v>1</v>
      </c>
      <c r="AH93" s="72"/>
      <c r="AI93" s="72" t="s">
        <v>458</v>
      </c>
      <c r="AJ93" s="72"/>
      <c r="AK93" s="72">
        <v>1</v>
      </c>
      <c r="AL93" s="72"/>
      <c r="AM93" s="72" t="s">
        <v>458</v>
      </c>
      <c r="AN93" s="72"/>
      <c r="AO93" s="72"/>
      <c r="AP93" s="72"/>
      <c r="AQ93" s="72" t="s">
        <v>458</v>
      </c>
      <c r="AR93" s="72"/>
      <c r="AS93" s="72">
        <v>1</v>
      </c>
      <c r="AT93" s="72"/>
      <c r="AU93" s="68">
        <v>8</v>
      </c>
      <c r="AV93" s="72" t="s">
        <v>458</v>
      </c>
      <c r="AW93" s="72"/>
      <c r="AX93" s="72">
        <v>2</v>
      </c>
      <c r="AY93" s="72"/>
      <c r="AZ93" s="72" t="s">
        <v>458</v>
      </c>
      <c r="BA93" s="72"/>
      <c r="BB93" s="113">
        <v>1</v>
      </c>
      <c r="BC93" s="72"/>
      <c r="BD93" s="72" t="s">
        <v>458</v>
      </c>
      <c r="BE93" s="72"/>
      <c r="BF93" s="117">
        <v>1</v>
      </c>
      <c r="BG93" s="72"/>
      <c r="BH93" s="72" t="s">
        <v>458</v>
      </c>
      <c r="BI93" s="72"/>
      <c r="BJ93" s="72"/>
      <c r="BK93" s="72"/>
      <c r="BL93" s="72" t="s">
        <v>458</v>
      </c>
      <c r="BM93" s="72"/>
      <c r="BN93" s="117">
        <v>1</v>
      </c>
      <c r="BO93" s="72"/>
      <c r="BP93" s="72" t="s">
        <v>458</v>
      </c>
      <c r="BQ93" s="72"/>
      <c r="BR93" s="72"/>
      <c r="BS93" s="72"/>
      <c r="BT93" s="69"/>
      <c r="BU93" s="72" t="s">
        <v>458</v>
      </c>
      <c r="BV93" s="72"/>
      <c r="BW93" s="72"/>
      <c r="BX93" s="72"/>
      <c r="BY93" s="72" t="s">
        <v>458</v>
      </c>
      <c r="BZ93" s="72"/>
      <c r="CA93" s="72">
        <v>1</v>
      </c>
      <c r="CB93" s="72"/>
      <c r="CC93" s="72" t="s">
        <v>458</v>
      </c>
      <c r="CD93" s="72"/>
      <c r="CE93" s="72"/>
      <c r="CF93" s="72"/>
      <c r="CG93" s="72" t="s">
        <v>458</v>
      </c>
      <c r="CH93" s="72"/>
      <c r="CI93" s="72">
        <v>0.5</v>
      </c>
      <c r="CJ93" s="72"/>
      <c r="CK93" s="72" t="s">
        <v>458</v>
      </c>
      <c r="CL93" s="72"/>
      <c r="CM93" s="114">
        <v>1</v>
      </c>
      <c r="CN93" s="72"/>
      <c r="CO93" s="72" t="s">
        <v>458</v>
      </c>
      <c r="CP93" s="72"/>
      <c r="CQ93" s="72">
        <v>1</v>
      </c>
      <c r="CR93" s="72"/>
      <c r="CS93" s="68"/>
      <c r="CT93" s="72" t="s">
        <v>458</v>
      </c>
      <c r="CU93" s="72"/>
      <c r="CV93" s="72"/>
      <c r="CW93" s="72"/>
      <c r="CX93" s="72" t="s">
        <v>458</v>
      </c>
      <c r="CY93" s="72"/>
      <c r="CZ93" s="72">
        <v>0.5</v>
      </c>
      <c r="DA93" s="72"/>
      <c r="DB93" s="72" t="s">
        <v>458</v>
      </c>
      <c r="DC93" s="72"/>
      <c r="DD93" s="114">
        <v>0.5</v>
      </c>
      <c r="DE93" s="72"/>
      <c r="DF93" s="72" t="s">
        <v>458</v>
      </c>
      <c r="DG93" s="72"/>
      <c r="DH93" s="72">
        <v>0.5</v>
      </c>
      <c r="DI93" s="72"/>
      <c r="DJ93" s="72" t="s">
        <v>458</v>
      </c>
      <c r="DK93" s="72"/>
      <c r="DL93" s="113"/>
      <c r="DM93" s="72"/>
      <c r="DN93" s="72" t="s">
        <v>458</v>
      </c>
      <c r="DO93" s="72"/>
      <c r="DP93" s="72">
        <f>20-17.5</f>
        <v>2.5</v>
      </c>
      <c r="DQ93" s="72"/>
      <c r="DR93" s="68"/>
    </row>
    <row r="94" spans="1:122" x14ac:dyDescent="0.25">
      <c r="A94" s="368" t="s">
        <v>521</v>
      </c>
      <c r="B94" s="369"/>
      <c r="C94" s="37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72"/>
      <c r="O94" s="72"/>
      <c r="P94" s="72"/>
      <c r="Q94" s="72"/>
      <c r="R94" s="72"/>
      <c r="S94" s="72"/>
      <c r="T94" s="72"/>
      <c r="U94" s="72"/>
      <c r="V94" s="11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68"/>
      <c r="AV94" s="72"/>
      <c r="AW94" s="72"/>
      <c r="AX94" s="72"/>
      <c r="AY94" s="72"/>
      <c r="AZ94" s="72"/>
      <c r="BA94" s="72"/>
      <c r="BB94" s="113"/>
      <c r="BC94" s="72"/>
      <c r="BD94" s="72"/>
      <c r="BE94" s="72"/>
      <c r="BF94" s="117"/>
      <c r="BG94" s="72"/>
      <c r="BH94" s="72"/>
      <c r="BI94" s="72"/>
      <c r="BJ94" s="72"/>
      <c r="BK94" s="72"/>
      <c r="BL94" s="72"/>
      <c r="BM94" s="72"/>
      <c r="BN94" s="117"/>
      <c r="BO94" s="72"/>
      <c r="BP94" s="72"/>
      <c r="BQ94" s="72"/>
      <c r="BR94" s="72"/>
      <c r="BS94" s="72"/>
      <c r="BT94" s="69"/>
      <c r="BU94" s="72"/>
      <c r="BV94" s="72"/>
      <c r="BW94" s="72"/>
      <c r="BX94" s="72"/>
      <c r="BY94" s="72"/>
      <c r="BZ94" s="72"/>
      <c r="CA94" s="72"/>
      <c r="CB94" s="72"/>
      <c r="CC94" s="72"/>
      <c r="CD94" s="72"/>
      <c r="CE94" s="72"/>
      <c r="CF94" s="72"/>
      <c r="CG94" s="72"/>
      <c r="CH94" s="72"/>
      <c r="CI94" s="72"/>
      <c r="CJ94" s="72"/>
      <c r="CK94" s="72"/>
      <c r="CL94" s="72"/>
      <c r="CM94" s="114"/>
      <c r="CN94" s="72"/>
      <c r="CO94" s="72"/>
      <c r="CP94" s="72"/>
      <c r="CQ94" s="72"/>
      <c r="CR94" s="72"/>
      <c r="CS94" s="68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114"/>
      <c r="DE94" s="72"/>
      <c r="DF94" s="72"/>
      <c r="DG94" s="72"/>
      <c r="DH94" s="72"/>
      <c r="DI94" s="72"/>
      <c r="DJ94" s="72"/>
      <c r="DK94" s="72"/>
      <c r="DL94" s="113"/>
      <c r="DM94" s="72"/>
      <c r="DN94" s="72"/>
      <c r="DO94" s="72"/>
      <c r="DP94" s="72"/>
      <c r="DQ94" s="72"/>
      <c r="DR94" s="68"/>
    </row>
    <row r="95" spans="1:122" x14ac:dyDescent="0.25">
      <c r="A95" s="59">
        <v>83</v>
      </c>
      <c r="B95" s="72" t="s">
        <v>30</v>
      </c>
      <c r="C95" s="73" t="s">
        <v>31</v>
      </c>
      <c r="D95" s="60">
        <f t="shared" si="22"/>
        <v>26</v>
      </c>
      <c r="E95" s="60">
        <f t="shared" si="39"/>
        <v>3</v>
      </c>
      <c r="F95" s="60">
        <f t="shared" si="40"/>
        <v>0</v>
      </c>
      <c r="G95" s="60">
        <f t="shared" si="41"/>
        <v>0</v>
      </c>
      <c r="H95" s="60">
        <f t="shared" si="42"/>
        <v>25</v>
      </c>
      <c r="I95" s="60">
        <f t="shared" si="43"/>
        <v>0</v>
      </c>
      <c r="J95" s="60">
        <f t="shared" si="44"/>
        <v>0</v>
      </c>
      <c r="K95" s="60">
        <f t="shared" si="45"/>
        <v>0</v>
      </c>
      <c r="L95" s="60">
        <f t="shared" si="46"/>
        <v>0</v>
      </c>
      <c r="M95" s="60">
        <f t="shared" si="47"/>
        <v>0</v>
      </c>
      <c r="N95" s="61" t="s">
        <v>458</v>
      </c>
      <c r="O95" s="61"/>
      <c r="P95" s="61"/>
      <c r="Q95" s="61"/>
      <c r="R95" s="61" t="s">
        <v>458</v>
      </c>
      <c r="S95" s="61"/>
      <c r="T95" s="61"/>
      <c r="U95" s="61"/>
      <c r="V95" s="68"/>
      <c r="W95" s="61" t="s">
        <v>458</v>
      </c>
      <c r="X95" s="61"/>
      <c r="Y95" s="61"/>
      <c r="Z95" s="61"/>
      <c r="AA95" s="61" t="s">
        <v>458</v>
      </c>
      <c r="AB95" s="61"/>
      <c r="AC95" s="61"/>
      <c r="AD95" s="61"/>
      <c r="AE95" s="61" t="s">
        <v>458</v>
      </c>
      <c r="AF95" s="61"/>
      <c r="AG95" s="61"/>
      <c r="AH95" s="61"/>
      <c r="AI95" s="61" t="s">
        <v>458</v>
      </c>
      <c r="AJ95" s="61"/>
      <c r="AK95" s="61"/>
      <c r="AL95" s="61"/>
      <c r="AM95" s="61" t="s">
        <v>458</v>
      </c>
      <c r="AN95" s="61"/>
      <c r="AO95" s="61"/>
      <c r="AP95" s="61"/>
      <c r="AQ95" s="61" t="s">
        <v>458</v>
      </c>
      <c r="AR95" s="61"/>
      <c r="AS95" s="61"/>
      <c r="AT95" s="61"/>
      <c r="AU95" s="68">
        <v>8</v>
      </c>
      <c r="AV95" s="61" t="s">
        <v>458</v>
      </c>
      <c r="AW95" s="61"/>
      <c r="AX95" s="61">
        <v>1</v>
      </c>
      <c r="AY95" s="61"/>
      <c r="AZ95" s="61" t="s">
        <v>458</v>
      </c>
      <c r="BA95" s="61"/>
      <c r="BB95" s="80"/>
      <c r="BC95" s="61"/>
      <c r="BD95" s="61" t="s">
        <v>458</v>
      </c>
      <c r="BE95" s="61"/>
      <c r="BF95" s="77"/>
      <c r="BG95" s="61"/>
      <c r="BH95" s="61" t="s">
        <v>458</v>
      </c>
      <c r="BI95" s="61"/>
      <c r="BJ95" s="61"/>
      <c r="BK95" s="61"/>
      <c r="BL95" s="61" t="s">
        <v>458</v>
      </c>
      <c r="BM95" s="61"/>
      <c r="BN95" s="77"/>
      <c r="BO95" s="61"/>
      <c r="BP95" s="61" t="s">
        <v>458</v>
      </c>
      <c r="BQ95" s="61"/>
      <c r="BR95" s="61"/>
      <c r="BS95" s="61"/>
      <c r="BT95" s="68">
        <v>9</v>
      </c>
      <c r="BU95" s="61" t="s">
        <v>458</v>
      </c>
      <c r="BV95" s="61"/>
      <c r="BW95" s="61"/>
      <c r="BX95" s="61"/>
      <c r="BY95" s="61" t="s">
        <v>458</v>
      </c>
      <c r="BZ95" s="61"/>
      <c r="CA95" s="61"/>
      <c r="CB95" s="61"/>
      <c r="CC95" s="61" t="s">
        <v>458</v>
      </c>
      <c r="CD95" s="61"/>
      <c r="CE95" s="61"/>
      <c r="CF95" s="61"/>
      <c r="CG95" s="61" t="s">
        <v>458</v>
      </c>
      <c r="CH95" s="61"/>
      <c r="CI95" s="61"/>
      <c r="CJ95" s="61"/>
      <c r="CK95" s="61" t="s">
        <v>458</v>
      </c>
      <c r="CL95" s="61"/>
      <c r="CM95" s="86"/>
      <c r="CN95" s="61"/>
      <c r="CO95" s="61" t="s">
        <v>458</v>
      </c>
      <c r="CP95" s="61"/>
      <c r="CQ95" s="61"/>
      <c r="CR95" s="61"/>
      <c r="CS95" s="68">
        <v>8</v>
      </c>
      <c r="CT95" s="61" t="s">
        <v>458</v>
      </c>
      <c r="CU95" s="61"/>
      <c r="CV95" s="61"/>
      <c r="CW95" s="61"/>
      <c r="CX95" s="61" t="s">
        <v>458</v>
      </c>
      <c r="CY95" s="61"/>
      <c r="CZ95" s="86"/>
      <c r="DA95" s="61"/>
      <c r="DB95" s="61" t="s">
        <v>458</v>
      </c>
      <c r="DC95" s="61"/>
      <c r="DD95" s="61">
        <v>2</v>
      </c>
      <c r="DE95" s="61"/>
      <c r="DF95" s="61" t="s">
        <v>458</v>
      </c>
      <c r="DG95" s="61"/>
      <c r="DH95" s="61"/>
      <c r="DI95" s="61"/>
      <c r="DJ95" s="61" t="s">
        <v>458</v>
      </c>
      <c r="DK95" s="61"/>
      <c r="DL95" s="80"/>
      <c r="DM95" s="61"/>
      <c r="DN95" s="61" t="s">
        <v>458</v>
      </c>
      <c r="DO95" s="61"/>
      <c r="DP95" s="61"/>
      <c r="DQ95" s="61"/>
      <c r="DR95" s="68"/>
    </row>
    <row r="96" spans="1:122" x14ac:dyDescent="0.25">
      <c r="A96" s="59">
        <v>84</v>
      </c>
      <c r="B96" s="72" t="s">
        <v>32</v>
      </c>
      <c r="C96" s="73" t="s">
        <v>33</v>
      </c>
      <c r="D96" s="60">
        <f t="shared" si="22"/>
        <v>25</v>
      </c>
      <c r="E96" s="60">
        <f t="shared" si="39"/>
        <v>0</v>
      </c>
      <c r="F96" s="60">
        <f t="shared" si="40"/>
        <v>0</v>
      </c>
      <c r="G96" s="60">
        <f t="shared" si="41"/>
        <v>0</v>
      </c>
      <c r="H96" s="60">
        <f t="shared" si="42"/>
        <v>0</v>
      </c>
      <c r="I96" s="60">
        <f t="shared" si="43"/>
        <v>0</v>
      </c>
      <c r="J96" s="60">
        <f t="shared" si="44"/>
        <v>1</v>
      </c>
      <c r="K96" s="60">
        <f t="shared" si="45"/>
        <v>0</v>
      </c>
      <c r="L96" s="60">
        <f t="shared" si="46"/>
        <v>0</v>
      </c>
      <c r="M96" s="60">
        <f t="shared" si="47"/>
        <v>0</v>
      </c>
      <c r="N96" s="61" t="s">
        <v>458</v>
      </c>
      <c r="O96" s="61"/>
      <c r="P96" s="61"/>
      <c r="Q96" s="61"/>
      <c r="R96" s="61" t="s">
        <v>458</v>
      </c>
      <c r="S96" s="61"/>
      <c r="T96" s="61"/>
      <c r="U96" s="61"/>
      <c r="V96" s="68"/>
      <c r="W96" s="61" t="s">
        <v>458</v>
      </c>
      <c r="X96" s="61"/>
      <c r="Y96" s="61"/>
      <c r="Z96" s="61"/>
      <c r="AA96" s="61" t="s">
        <v>13</v>
      </c>
      <c r="AB96" s="61"/>
      <c r="AC96" s="61"/>
      <c r="AD96" s="61"/>
      <c r="AE96" s="61" t="s">
        <v>458</v>
      </c>
      <c r="AF96" s="61"/>
      <c r="AG96" s="61"/>
      <c r="AH96" s="61"/>
      <c r="AI96" s="61" t="s">
        <v>458</v>
      </c>
      <c r="AJ96" s="61"/>
      <c r="AK96" s="61"/>
      <c r="AL96" s="61"/>
      <c r="AM96" s="61" t="s">
        <v>458</v>
      </c>
      <c r="AN96" s="61"/>
      <c r="AO96" s="61"/>
      <c r="AP96" s="61"/>
      <c r="AQ96" s="61" t="s">
        <v>458</v>
      </c>
      <c r="AR96" s="61"/>
      <c r="AS96" s="61"/>
      <c r="AT96" s="61"/>
      <c r="AU96" s="68"/>
      <c r="AV96" s="61" t="s">
        <v>458</v>
      </c>
      <c r="AW96" s="61"/>
      <c r="AX96" s="61"/>
      <c r="AY96" s="61"/>
      <c r="AZ96" s="61" t="s">
        <v>458</v>
      </c>
      <c r="BA96" s="61"/>
      <c r="BB96" s="80"/>
      <c r="BC96" s="61"/>
      <c r="BD96" s="61" t="s">
        <v>458</v>
      </c>
      <c r="BE96" s="61"/>
      <c r="BF96" s="77"/>
      <c r="BG96" s="61"/>
      <c r="BH96" s="61" t="s">
        <v>458</v>
      </c>
      <c r="BI96" s="61"/>
      <c r="BJ96" s="61"/>
      <c r="BK96" s="61"/>
      <c r="BL96" s="61" t="s">
        <v>458</v>
      </c>
      <c r="BM96" s="61"/>
      <c r="BN96" s="77"/>
      <c r="BO96" s="61"/>
      <c r="BP96" s="61" t="s">
        <v>458</v>
      </c>
      <c r="BQ96" s="61"/>
      <c r="BR96" s="61"/>
      <c r="BS96" s="61"/>
      <c r="BT96" s="68"/>
      <c r="BU96" s="61" t="s">
        <v>458</v>
      </c>
      <c r="BV96" s="61"/>
      <c r="BW96" s="61"/>
      <c r="BX96" s="61"/>
      <c r="BY96" s="61" t="s">
        <v>458</v>
      </c>
      <c r="BZ96" s="61"/>
      <c r="CA96" s="61"/>
      <c r="CB96" s="61"/>
      <c r="CC96" s="61" t="s">
        <v>458</v>
      </c>
      <c r="CD96" s="61"/>
      <c r="CE96" s="61"/>
      <c r="CF96" s="61"/>
      <c r="CG96" s="61" t="s">
        <v>458</v>
      </c>
      <c r="CH96" s="61"/>
      <c r="CI96" s="61"/>
      <c r="CJ96" s="61"/>
      <c r="CK96" s="61" t="s">
        <v>458</v>
      </c>
      <c r="CL96" s="61"/>
      <c r="CM96" s="86"/>
      <c r="CN96" s="61"/>
      <c r="CO96" s="61" t="s">
        <v>458</v>
      </c>
      <c r="CP96" s="61"/>
      <c r="CQ96" s="61"/>
      <c r="CR96" s="61"/>
      <c r="CS96" s="68"/>
      <c r="CT96" s="61" t="s">
        <v>458</v>
      </c>
      <c r="CU96" s="61"/>
      <c r="CV96" s="61"/>
      <c r="CW96" s="61"/>
      <c r="CX96" s="61" t="s">
        <v>458</v>
      </c>
      <c r="CY96" s="61"/>
      <c r="CZ96" s="86"/>
      <c r="DA96" s="61"/>
      <c r="DB96" s="61" t="s">
        <v>458</v>
      </c>
      <c r="DC96" s="61"/>
      <c r="DD96" s="61"/>
      <c r="DE96" s="61"/>
      <c r="DF96" s="61" t="s">
        <v>458</v>
      </c>
      <c r="DG96" s="61"/>
      <c r="DH96" s="61"/>
      <c r="DI96" s="61"/>
      <c r="DJ96" s="61" t="s">
        <v>458</v>
      </c>
      <c r="DK96" s="61"/>
      <c r="DL96" s="80"/>
      <c r="DM96" s="61"/>
      <c r="DN96" s="61" t="s">
        <v>458</v>
      </c>
      <c r="DO96" s="61"/>
      <c r="DP96" s="61"/>
      <c r="DQ96" s="61"/>
      <c r="DR96" s="68"/>
    </row>
    <row r="97" spans="1:122" x14ac:dyDescent="0.25">
      <c r="A97" s="59">
        <v>85</v>
      </c>
      <c r="B97" s="72" t="s">
        <v>500</v>
      </c>
      <c r="C97" s="73" t="s">
        <v>501</v>
      </c>
      <c r="D97" s="60">
        <f t="shared" si="22"/>
        <v>16.5</v>
      </c>
      <c r="E97" s="60">
        <f t="shared" si="39"/>
        <v>15</v>
      </c>
      <c r="F97" s="60">
        <f t="shared" si="40"/>
        <v>0</v>
      </c>
      <c r="G97" s="60">
        <f t="shared" si="41"/>
        <v>0</v>
      </c>
      <c r="H97" s="60">
        <f t="shared" si="42"/>
        <v>8</v>
      </c>
      <c r="I97" s="60">
        <f t="shared" si="43"/>
        <v>0</v>
      </c>
      <c r="J97" s="60">
        <f t="shared" si="44"/>
        <v>0</v>
      </c>
      <c r="K97" s="60">
        <f t="shared" si="45"/>
        <v>0</v>
      </c>
      <c r="L97" s="60">
        <f t="shared" si="46"/>
        <v>0</v>
      </c>
      <c r="M97" s="60">
        <f t="shared" si="47"/>
        <v>0</v>
      </c>
      <c r="N97" s="61"/>
      <c r="O97" s="61"/>
      <c r="P97" s="61"/>
      <c r="Q97" s="61"/>
      <c r="R97" s="61"/>
      <c r="S97" s="61"/>
      <c r="T97" s="61"/>
      <c r="U97" s="61"/>
      <c r="V97" s="68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8"/>
      <c r="AV97" s="61"/>
      <c r="AW97" s="61"/>
      <c r="AX97" s="61"/>
      <c r="AY97" s="61"/>
      <c r="AZ97" s="61" t="s">
        <v>458</v>
      </c>
      <c r="BA97" s="61"/>
      <c r="BB97" s="80"/>
      <c r="BC97" s="61"/>
      <c r="BD97" s="61" t="s">
        <v>458</v>
      </c>
      <c r="BE97" s="61"/>
      <c r="BF97" s="77">
        <v>1</v>
      </c>
      <c r="BG97" s="61"/>
      <c r="BH97" s="61" t="s">
        <v>458</v>
      </c>
      <c r="BI97" s="61"/>
      <c r="BJ97" s="61">
        <v>1</v>
      </c>
      <c r="BK97" s="61"/>
      <c r="BL97" s="61" t="s">
        <v>458</v>
      </c>
      <c r="BM97" s="61"/>
      <c r="BN97" s="77">
        <v>1</v>
      </c>
      <c r="BO97" s="61"/>
      <c r="BP97" s="61" t="s">
        <v>458</v>
      </c>
      <c r="BQ97" s="61"/>
      <c r="BR97" s="61">
        <v>1</v>
      </c>
      <c r="BS97" s="61"/>
      <c r="BT97" s="68">
        <v>8</v>
      </c>
      <c r="BU97" s="61" t="s">
        <v>458</v>
      </c>
      <c r="BV97" s="61"/>
      <c r="BW97" s="61">
        <v>1</v>
      </c>
      <c r="BX97" s="61"/>
      <c r="BY97" s="61" t="s">
        <v>458</v>
      </c>
      <c r="BZ97" s="61"/>
      <c r="CA97" s="61">
        <v>1</v>
      </c>
      <c r="CB97" s="61"/>
      <c r="CC97" s="61" t="s">
        <v>458</v>
      </c>
      <c r="CD97" s="61"/>
      <c r="CE97" s="61">
        <v>1</v>
      </c>
      <c r="CF97" s="61"/>
      <c r="CG97" s="61" t="s">
        <v>458</v>
      </c>
      <c r="CH97" s="61"/>
      <c r="CI97" s="61">
        <v>1</v>
      </c>
      <c r="CJ97" s="61"/>
      <c r="CK97" s="61" t="s">
        <v>458</v>
      </c>
      <c r="CL97" s="61"/>
      <c r="CM97" s="86">
        <v>1</v>
      </c>
      <c r="CN97" s="61"/>
      <c r="CO97" s="61" t="s">
        <v>458</v>
      </c>
      <c r="CP97" s="61"/>
      <c r="CQ97" s="61">
        <v>1</v>
      </c>
      <c r="CR97" s="61"/>
      <c r="CS97" s="68"/>
      <c r="CT97" s="61" t="s">
        <v>458</v>
      </c>
      <c r="CU97" s="61"/>
      <c r="CV97" s="61">
        <v>1</v>
      </c>
      <c r="CW97" s="61"/>
      <c r="CX97" s="61" t="s">
        <v>458</v>
      </c>
      <c r="CY97" s="61"/>
      <c r="CZ97" s="86">
        <v>1</v>
      </c>
      <c r="DA97" s="61"/>
      <c r="DB97" s="61" t="s">
        <v>478</v>
      </c>
      <c r="DC97" s="61"/>
      <c r="DD97" s="61"/>
      <c r="DE97" s="61"/>
      <c r="DF97" s="61" t="s">
        <v>458</v>
      </c>
      <c r="DG97" s="61"/>
      <c r="DH97" s="61">
        <v>1</v>
      </c>
      <c r="DI97" s="61"/>
      <c r="DJ97" s="61" t="s">
        <v>458</v>
      </c>
      <c r="DK97" s="61"/>
      <c r="DL97" s="80">
        <v>1</v>
      </c>
      <c r="DM97" s="61"/>
      <c r="DN97" s="61" t="s">
        <v>458</v>
      </c>
      <c r="DO97" s="61"/>
      <c r="DP97" s="61">
        <v>1</v>
      </c>
      <c r="DQ97" s="61"/>
      <c r="DR97" s="68"/>
    </row>
    <row r="98" spans="1:122" x14ac:dyDescent="0.25">
      <c r="A98" s="59">
        <v>86</v>
      </c>
      <c r="B98" s="72" t="s">
        <v>471</v>
      </c>
      <c r="C98" s="73" t="s">
        <v>473</v>
      </c>
      <c r="D98" s="60">
        <v>26</v>
      </c>
      <c r="E98" s="60">
        <f t="shared" si="39"/>
        <v>0</v>
      </c>
      <c r="F98" s="60">
        <f t="shared" si="40"/>
        <v>0</v>
      </c>
      <c r="G98" s="60">
        <f t="shared" ref="G98:G99" si="48">IF(C98="",0,SUMIFS(N98:DR98,$N$7:$DR$7,"ĐT/VS"))</f>
        <v>0</v>
      </c>
      <c r="H98" s="60">
        <f t="shared" si="42"/>
        <v>0</v>
      </c>
      <c r="I98" s="60">
        <f t="shared" si="43"/>
        <v>0</v>
      </c>
      <c r="J98" s="60">
        <f t="shared" si="44"/>
        <v>0</v>
      </c>
      <c r="K98" s="60">
        <f t="shared" si="45"/>
        <v>0</v>
      </c>
      <c r="L98" s="60">
        <f t="shared" si="46"/>
        <v>0</v>
      </c>
      <c r="M98" s="60">
        <f t="shared" si="47"/>
        <v>0</v>
      </c>
      <c r="N98" s="72"/>
      <c r="O98" s="72"/>
      <c r="P98" s="72"/>
      <c r="Q98" s="72"/>
      <c r="R98" s="72"/>
      <c r="S98" s="72"/>
      <c r="T98" s="72"/>
      <c r="U98" s="72"/>
      <c r="V98" s="11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68"/>
      <c r="AV98" s="72"/>
      <c r="AW98" s="72"/>
      <c r="AX98" s="72"/>
      <c r="AY98" s="72"/>
      <c r="AZ98" s="72"/>
      <c r="BA98" s="72"/>
      <c r="BB98" s="113"/>
      <c r="BC98" s="72"/>
      <c r="BD98" s="72"/>
      <c r="BE98" s="72"/>
      <c r="BF98" s="117"/>
      <c r="BG98" s="72"/>
      <c r="BH98" s="72"/>
      <c r="BI98" s="72"/>
      <c r="BJ98" s="72"/>
      <c r="BK98" s="72"/>
      <c r="BL98" s="72"/>
      <c r="BM98" s="72"/>
      <c r="BN98" s="117"/>
      <c r="BO98" s="72"/>
      <c r="BP98" s="72"/>
      <c r="BQ98" s="72"/>
      <c r="BR98" s="72"/>
      <c r="BS98" s="72"/>
      <c r="BT98" s="69"/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72"/>
      <c r="CI98" s="72"/>
      <c r="CJ98" s="72"/>
      <c r="CK98" s="72"/>
      <c r="CL98" s="72"/>
      <c r="CM98" s="114"/>
      <c r="CN98" s="72"/>
      <c r="CO98" s="72"/>
      <c r="CP98" s="72"/>
      <c r="CQ98" s="72"/>
      <c r="CR98" s="72"/>
      <c r="CS98" s="68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114"/>
      <c r="DE98" s="72"/>
      <c r="DF98" s="72"/>
      <c r="DG98" s="72"/>
      <c r="DH98" s="72"/>
      <c r="DI98" s="72"/>
      <c r="DJ98" s="72"/>
      <c r="DK98" s="72"/>
      <c r="DL98" s="113"/>
      <c r="DM98" s="72"/>
      <c r="DN98" s="72"/>
      <c r="DO98" s="72"/>
      <c r="DP98" s="72"/>
      <c r="DQ98" s="72"/>
      <c r="DR98" s="68"/>
    </row>
    <row r="99" spans="1:122" x14ac:dyDescent="0.25">
      <c r="A99" s="59">
        <v>87</v>
      </c>
      <c r="B99" s="72" t="s">
        <v>472</v>
      </c>
      <c r="C99" s="73" t="s">
        <v>474</v>
      </c>
      <c r="D99" s="60">
        <v>26</v>
      </c>
      <c r="E99" s="60">
        <f t="shared" si="39"/>
        <v>0</v>
      </c>
      <c r="F99" s="60">
        <f t="shared" si="40"/>
        <v>0</v>
      </c>
      <c r="G99" s="60">
        <f t="shared" si="48"/>
        <v>0</v>
      </c>
      <c r="H99" s="60">
        <f t="shared" si="42"/>
        <v>0</v>
      </c>
      <c r="I99" s="60">
        <f t="shared" si="43"/>
        <v>0</v>
      </c>
      <c r="J99" s="60">
        <f t="shared" si="44"/>
        <v>0</v>
      </c>
      <c r="K99" s="60">
        <f t="shared" si="45"/>
        <v>0</v>
      </c>
      <c r="L99" s="60">
        <f t="shared" si="46"/>
        <v>0</v>
      </c>
      <c r="M99" s="60">
        <f t="shared" si="47"/>
        <v>0</v>
      </c>
      <c r="N99" s="72" t="s">
        <v>458</v>
      </c>
      <c r="O99" s="72"/>
      <c r="P99" s="72"/>
      <c r="Q99" s="72"/>
      <c r="R99" s="72"/>
      <c r="S99" s="72"/>
      <c r="T99" s="72"/>
      <c r="U99" s="72"/>
      <c r="V99" s="11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69"/>
      <c r="AV99" s="72"/>
      <c r="AW99" s="72"/>
      <c r="AX99" s="72"/>
      <c r="AY99" s="72"/>
      <c r="AZ99" s="72"/>
      <c r="BA99" s="72"/>
      <c r="BB99" s="113"/>
      <c r="BC99" s="72"/>
      <c r="BD99" s="72"/>
      <c r="BE99" s="72"/>
      <c r="BF99" s="117"/>
      <c r="BG99" s="72"/>
      <c r="BH99" s="72"/>
      <c r="BI99" s="72"/>
      <c r="BJ99" s="72"/>
      <c r="BK99" s="72"/>
      <c r="BL99" s="72"/>
      <c r="BM99" s="72"/>
      <c r="BN99" s="117"/>
      <c r="BO99" s="72"/>
      <c r="BP99" s="72"/>
      <c r="BQ99" s="72"/>
      <c r="BR99" s="72"/>
      <c r="BS99" s="72"/>
      <c r="BT99" s="69"/>
      <c r="BU99" s="72"/>
      <c r="BV99" s="72"/>
      <c r="BW99" s="72"/>
      <c r="BX99" s="72"/>
      <c r="BY99" s="72"/>
      <c r="BZ99" s="72"/>
      <c r="CA99" s="72"/>
      <c r="CB99" s="72"/>
      <c r="CC99" s="72"/>
      <c r="CD99" s="72"/>
      <c r="CE99" s="72"/>
      <c r="CF99" s="72"/>
      <c r="CG99" s="72"/>
      <c r="CH99" s="72"/>
      <c r="CI99" s="72"/>
      <c r="CJ99" s="72"/>
      <c r="CK99" s="72"/>
      <c r="CL99" s="72"/>
      <c r="CM99" s="114"/>
      <c r="CN99" s="72"/>
      <c r="CO99" s="72"/>
      <c r="CP99" s="72"/>
      <c r="CQ99" s="72"/>
      <c r="CR99" s="72"/>
      <c r="CS99" s="68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114"/>
      <c r="DE99" s="72"/>
      <c r="DF99" s="72"/>
      <c r="DG99" s="72"/>
      <c r="DH99" s="72"/>
      <c r="DI99" s="72"/>
      <c r="DJ99" s="72"/>
      <c r="DK99" s="72"/>
      <c r="DL99" s="113"/>
      <c r="DM99" s="72"/>
      <c r="DN99" s="72"/>
      <c r="DO99" s="72"/>
      <c r="DP99" s="72"/>
      <c r="DQ99" s="72"/>
      <c r="DR99" s="68"/>
    </row>
    <row r="100" spans="1:122" x14ac:dyDescent="0.25">
      <c r="A100" s="59">
        <v>88</v>
      </c>
      <c r="B100" s="72" t="s">
        <v>102</v>
      </c>
      <c r="C100" s="73" t="s">
        <v>101</v>
      </c>
      <c r="D100" s="60">
        <f t="shared" si="22"/>
        <v>25</v>
      </c>
      <c r="E100" s="60">
        <f>IF(C100="",0,SUMIFS($N100:$DR100,$N$7:$DR$7,$I$2,$N$6:$DR$6,1))</f>
        <v>42</v>
      </c>
      <c r="F100" s="60">
        <f>IF(C100="",0,SUMIFS($N100:$DR100,$N$7:$DR$7,$I$3,$N$6:$DR$6,1))</f>
        <v>0</v>
      </c>
      <c r="G100" s="60">
        <f>IF(C100="",0,SUMIFS(N100:DR100,$N$7:$DR$7,"ĐT/VS"))</f>
        <v>0</v>
      </c>
      <c r="H100" s="60">
        <f>IF(E100="",0,SUMIFS($N100:$DR100,$N$7:$DR$7,$I$1,$N$6:$DR$6,2))</f>
        <v>13</v>
      </c>
      <c r="I100" s="60">
        <f>COUNTIF($N100:$DR100,$R$2)</f>
        <v>0</v>
      </c>
      <c r="J100" s="60">
        <f>COUNTIF($N100:$DR100,$O$3)</f>
        <v>1</v>
      </c>
      <c r="K100" s="60">
        <f>COUNTIF($N100:$DQ100,$R$1)</f>
        <v>0</v>
      </c>
      <c r="L100" s="60">
        <f>COUNTIF($N100:$DQ100,$O$2)</f>
        <v>0</v>
      </c>
      <c r="M100" s="60">
        <f>COUNTIF($N100:$DQ100,$O$1)</f>
        <v>0</v>
      </c>
      <c r="N100" s="61" t="s">
        <v>458</v>
      </c>
      <c r="O100" s="61"/>
      <c r="P100" s="61">
        <f>21-17.5</f>
        <v>3.5</v>
      </c>
      <c r="Q100" s="61"/>
      <c r="R100" s="61" t="s">
        <v>458</v>
      </c>
      <c r="S100" s="61"/>
      <c r="T100" s="61"/>
      <c r="U100" s="61"/>
      <c r="V100" s="68"/>
      <c r="W100" s="61" t="s">
        <v>458</v>
      </c>
      <c r="X100" s="61"/>
      <c r="Y100" s="61">
        <f>21-17.5</f>
        <v>3.5</v>
      </c>
      <c r="Z100" s="61"/>
      <c r="AA100" s="61" t="s">
        <v>458</v>
      </c>
      <c r="AB100" s="61"/>
      <c r="AC100" s="61"/>
      <c r="AD100" s="61"/>
      <c r="AE100" s="61" t="s">
        <v>458</v>
      </c>
      <c r="AF100" s="61"/>
      <c r="AG100" s="61">
        <v>1.5</v>
      </c>
      <c r="AH100" s="61"/>
      <c r="AI100" s="61" t="s">
        <v>458</v>
      </c>
      <c r="AJ100" s="61"/>
      <c r="AK100" s="61">
        <v>1</v>
      </c>
      <c r="AL100" s="61"/>
      <c r="AM100" s="61" t="s">
        <v>458</v>
      </c>
      <c r="AN100" s="61"/>
      <c r="AO100" s="61">
        <v>1</v>
      </c>
      <c r="AP100" s="61"/>
      <c r="AQ100" s="61" t="s">
        <v>458</v>
      </c>
      <c r="AR100" s="61"/>
      <c r="AS100" s="61">
        <v>1</v>
      </c>
      <c r="AT100" s="61"/>
      <c r="AU100" s="68"/>
      <c r="AV100" s="61" t="s">
        <v>13</v>
      </c>
      <c r="AW100" s="61"/>
      <c r="AX100" s="61"/>
      <c r="AY100" s="61"/>
      <c r="AZ100" s="61" t="s">
        <v>458</v>
      </c>
      <c r="BA100" s="61"/>
      <c r="BB100" s="80">
        <v>1</v>
      </c>
      <c r="BC100" s="61"/>
      <c r="BD100" s="61" t="s">
        <v>458</v>
      </c>
      <c r="BE100" s="61"/>
      <c r="BF100" s="77">
        <v>1</v>
      </c>
      <c r="BG100" s="61"/>
      <c r="BH100" s="61" t="s">
        <v>458</v>
      </c>
      <c r="BI100" s="61"/>
      <c r="BJ100" s="61">
        <v>1.5</v>
      </c>
      <c r="BK100" s="61"/>
      <c r="BL100" s="61" t="s">
        <v>458</v>
      </c>
      <c r="BM100" s="61"/>
      <c r="BN100" s="77">
        <v>1.5</v>
      </c>
      <c r="BO100" s="61"/>
      <c r="BP100" s="61" t="s">
        <v>458</v>
      </c>
      <c r="BQ100" s="61"/>
      <c r="BR100" s="61">
        <v>0.5</v>
      </c>
      <c r="BS100" s="61"/>
      <c r="BT100" s="68">
        <v>2</v>
      </c>
      <c r="BU100" s="61" t="s">
        <v>458</v>
      </c>
      <c r="BV100" s="61"/>
      <c r="BW100" s="61">
        <f>21-17.5</f>
        <v>3.5</v>
      </c>
      <c r="BX100" s="61"/>
      <c r="BY100" s="61" t="s">
        <v>458</v>
      </c>
      <c r="BZ100" s="61"/>
      <c r="CA100" s="61">
        <v>1.5</v>
      </c>
      <c r="CB100" s="61"/>
      <c r="CC100" s="61" t="s">
        <v>458</v>
      </c>
      <c r="CD100" s="61"/>
      <c r="CE100" s="61">
        <f>20-17.5</f>
        <v>2.5</v>
      </c>
      <c r="CF100" s="61"/>
      <c r="CG100" s="61" t="s">
        <v>458</v>
      </c>
      <c r="CH100" s="61"/>
      <c r="CI100" s="61">
        <v>1.5</v>
      </c>
      <c r="CJ100" s="61"/>
      <c r="CK100" s="61" t="s">
        <v>458</v>
      </c>
      <c r="CL100" s="61"/>
      <c r="CM100" s="86">
        <v>1.5</v>
      </c>
      <c r="CN100" s="61"/>
      <c r="CO100" s="61" t="s">
        <v>458</v>
      </c>
      <c r="CP100" s="61"/>
      <c r="CQ100" s="61">
        <v>1</v>
      </c>
      <c r="CR100" s="61"/>
      <c r="CS100" s="68">
        <v>2</v>
      </c>
      <c r="CT100" s="61" t="s">
        <v>458</v>
      </c>
      <c r="CU100" s="61"/>
      <c r="CV100" s="61">
        <v>1.5</v>
      </c>
      <c r="CW100" s="61"/>
      <c r="CX100" s="61" t="s">
        <v>458</v>
      </c>
      <c r="CY100" s="61"/>
      <c r="CZ100" s="86">
        <v>2.5</v>
      </c>
      <c r="DA100" s="61"/>
      <c r="DB100" s="61" t="s">
        <v>458</v>
      </c>
      <c r="DC100" s="61"/>
      <c r="DD100" s="61">
        <f>20.5-17.5</f>
        <v>3</v>
      </c>
      <c r="DE100" s="61"/>
      <c r="DF100" s="61" t="s">
        <v>458</v>
      </c>
      <c r="DG100" s="61"/>
      <c r="DH100" s="61">
        <v>3</v>
      </c>
      <c r="DI100" s="61"/>
      <c r="DJ100" s="61" t="s">
        <v>458</v>
      </c>
      <c r="DK100" s="61"/>
      <c r="DL100" s="80">
        <v>1.5</v>
      </c>
      <c r="DM100" s="61"/>
      <c r="DN100" s="61" t="s">
        <v>458</v>
      </c>
      <c r="DO100" s="61"/>
      <c r="DP100" s="61">
        <f>19.5-17.5</f>
        <v>2</v>
      </c>
      <c r="DQ100" s="61"/>
      <c r="DR100" s="68">
        <f>16.5-7.5</f>
        <v>9</v>
      </c>
    </row>
    <row r="101" spans="1:122" x14ac:dyDescent="0.25">
      <c r="A101" s="59">
        <v>89</v>
      </c>
      <c r="B101" s="72" t="s">
        <v>102</v>
      </c>
      <c r="C101" s="73" t="s">
        <v>103</v>
      </c>
      <c r="D101" s="60">
        <f t="shared" si="22"/>
        <v>26</v>
      </c>
      <c r="E101" s="60">
        <f>IF(C101="",0,SUMIFS($N101:$DR101,$N$7:$DR$7,$I$2,$N$6:$DR$6,1))</f>
        <v>60</v>
      </c>
      <c r="F101" s="60">
        <f>IF(C101="",0,SUMIFS($N101:$DR101,$N$7:$DR$7,$I$3,$N$6:$DR$6,1))</f>
        <v>0.5</v>
      </c>
      <c r="G101" s="60">
        <f>IF(C101="",0,SUMIFS(N101:DR101,$N$7:$DR$7,"ĐT/VS"))</f>
        <v>1</v>
      </c>
      <c r="H101" s="60">
        <f>IF(E101="",0,SUMIFS($N101:$DR101,$N$7:$DR$7,$I$1,$N$6:$DR$6,2))</f>
        <v>0</v>
      </c>
      <c r="I101" s="60">
        <f>COUNTIF($N101:$DR101,$R$2)</f>
        <v>0</v>
      </c>
      <c r="J101" s="60">
        <f>COUNTIF($N101:$DR101,$O$3)</f>
        <v>0</v>
      </c>
      <c r="K101" s="60">
        <f>COUNTIF($N101:$DQ101,$R$1)</f>
        <v>0</v>
      </c>
      <c r="L101" s="60">
        <f>COUNTIF($N101:$DQ101,$O$2)</f>
        <v>0</v>
      </c>
      <c r="M101" s="60">
        <f>COUNTIF($N101:$DQ101,$O$1)</f>
        <v>0</v>
      </c>
      <c r="N101" s="62" t="s">
        <v>458</v>
      </c>
      <c r="O101" s="62"/>
      <c r="P101" s="62">
        <f>22-17.5</f>
        <v>4.5</v>
      </c>
      <c r="Q101" s="62"/>
      <c r="R101" s="62" t="s">
        <v>458</v>
      </c>
      <c r="S101" s="62"/>
      <c r="T101" s="62"/>
      <c r="U101" s="62"/>
      <c r="V101" s="69"/>
      <c r="W101" s="62" t="s">
        <v>458</v>
      </c>
      <c r="X101" s="62"/>
      <c r="Y101" s="62">
        <v>3.5</v>
      </c>
      <c r="Z101" s="62"/>
      <c r="AA101" s="62" t="s">
        <v>458</v>
      </c>
      <c r="AB101" s="62"/>
      <c r="AC101" s="62">
        <v>1.5</v>
      </c>
      <c r="AD101" s="62"/>
      <c r="AE101" s="62" t="s">
        <v>458</v>
      </c>
      <c r="AF101" s="62"/>
      <c r="AG101" s="62">
        <f>20-17.5</f>
        <v>2.5</v>
      </c>
      <c r="AH101" s="62"/>
      <c r="AI101" s="62" t="s">
        <v>458</v>
      </c>
      <c r="AJ101" s="62"/>
      <c r="AK101" s="62">
        <v>1</v>
      </c>
      <c r="AL101" s="62"/>
      <c r="AM101" s="62" t="s">
        <v>458</v>
      </c>
      <c r="AN101" s="62"/>
      <c r="AO101" s="62">
        <f>19.5-17.5</f>
        <v>2</v>
      </c>
      <c r="AP101" s="62"/>
      <c r="AQ101" s="62" t="s">
        <v>458</v>
      </c>
      <c r="AR101" s="62">
        <v>1</v>
      </c>
      <c r="AS101" s="62"/>
      <c r="AT101" s="62"/>
      <c r="AU101" s="69"/>
      <c r="AV101" s="62" t="s">
        <v>458</v>
      </c>
      <c r="AW101" s="62"/>
      <c r="AX101" s="62">
        <v>4.5</v>
      </c>
      <c r="AY101" s="62"/>
      <c r="AZ101" s="62" t="s">
        <v>458</v>
      </c>
      <c r="BA101" s="62"/>
      <c r="BB101" s="81">
        <v>4.5</v>
      </c>
      <c r="BC101" s="62">
        <v>0.5</v>
      </c>
      <c r="BD101" s="62" t="s">
        <v>458</v>
      </c>
      <c r="BE101" s="62"/>
      <c r="BF101" s="78">
        <v>1.5</v>
      </c>
      <c r="BG101" s="62"/>
      <c r="BH101" s="62" t="s">
        <v>458</v>
      </c>
      <c r="BI101" s="62"/>
      <c r="BJ101" s="62">
        <v>1.5</v>
      </c>
      <c r="BK101" s="62"/>
      <c r="BL101" s="62" t="s">
        <v>458</v>
      </c>
      <c r="BM101" s="62"/>
      <c r="BN101" s="78">
        <v>1.5</v>
      </c>
      <c r="BO101" s="62"/>
      <c r="BP101" s="62" t="s">
        <v>458</v>
      </c>
      <c r="BQ101" s="62"/>
      <c r="BR101" s="62">
        <v>0.5</v>
      </c>
      <c r="BS101" s="62"/>
      <c r="BT101" s="69"/>
      <c r="BU101" s="62" t="s">
        <v>458</v>
      </c>
      <c r="BV101" s="62"/>
      <c r="BW101" s="62">
        <f>21.5-17.5</f>
        <v>4</v>
      </c>
      <c r="BX101" s="62"/>
      <c r="BY101" s="62" t="s">
        <v>458</v>
      </c>
      <c r="BZ101" s="62"/>
      <c r="CA101" s="62">
        <f>18.5-17.5</f>
        <v>1</v>
      </c>
      <c r="CB101" s="62"/>
      <c r="CC101" s="62" t="s">
        <v>458</v>
      </c>
      <c r="CD101" s="62"/>
      <c r="CE101" s="62">
        <f>20.5-17.5</f>
        <v>3</v>
      </c>
      <c r="CF101" s="62"/>
      <c r="CG101" s="62" t="s">
        <v>458</v>
      </c>
      <c r="CH101" s="62"/>
      <c r="CI101" s="62">
        <v>2</v>
      </c>
      <c r="CJ101" s="62"/>
      <c r="CK101" s="62" t="s">
        <v>458</v>
      </c>
      <c r="CL101" s="62"/>
      <c r="CM101" s="87">
        <f>20.5-17.5</f>
        <v>3</v>
      </c>
      <c r="CN101" s="62"/>
      <c r="CO101" s="62" t="s">
        <v>458</v>
      </c>
      <c r="CP101" s="62"/>
      <c r="CQ101" s="62"/>
      <c r="CR101" s="62"/>
      <c r="CS101" s="69"/>
      <c r="CT101" s="62" t="s">
        <v>458</v>
      </c>
      <c r="CU101" s="62"/>
      <c r="CV101" s="62">
        <v>2</v>
      </c>
      <c r="CW101" s="62"/>
      <c r="CX101" s="62" t="s">
        <v>458</v>
      </c>
      <c r="CY101" s="62"/>
      <c r="CZ101" s="87">
        <v>2.5</v>
      </c>
      <c r="DA101" s="62"/>
      <c r="DB101" s="62" t="s">
        <v>458</v>
      </c>
      <c r="DC101" s="62"/>
      <c r="DD101" s="62">
        <v>4.5</v>
      </c>
      <c r="DE101" s="62"/>
      <c r="DF101" s="62" t="s">
        <v>458</v>
      </c>
      <c r="DG101" s="62"/>
      <c r="DH101" s="62">
        <v>4.5</v>
      </c>
      <c r="DI101" s="62"/>
      <c r="DJ101" s="62" t="s">
        <v>458</v>
      </c>
      <c r="DK101" s="62"/>
      <c r="DL101" s="81">
        <f>20-17.5</f>
        <v>2.5</v>
      </c>
      <c r="DM101" s="62"/>
      <c r="DN101" s="62" t="s">
        <v>458</v>
      </c>
      <c r="DO101" s="62"/>
      <c r="DP101" s="62">
        <f>19.5-17.5</f>
        <v>2</v>
      </c>
      <c r="DQ101" s="62"/>
      <c r="DR101" s="69"/>
    </row>
    <row r="102" spans="1:122" x14ac:dyDescent="0.25">
      <c r="A102" s="59">
        <v>90</v>
      </c>
      <c r="B102" s="72" t="s">
        <v>104</v>
      </c>
      <c r="C102" s="73" t="s">
        <v>105</v>
      </c>
      <c r="D102" s="60">
        <f t="shared" si="22"/>
        <v>9</v>
      </c>
      <c r="E102" s="60">
        <f>IF(C102="",0,SUMIFS($N102:$DR102,$N$7:$DR$7,$I$2,$N$6:$DR$6,1))</f>
        <v>15</v>
      </c>
      <c r="F102" s="60">
        <f>IF(C102="",0,SUMIFS($N102:$DR102,$N$7:$DR$7,$I$3,$N$6:$DR$6,1))</f>
        <v>0</v>
      </c>
      <c r="G102" s="60">
        <f>IF(C102="",0,SUMIFS(N102:DR102,$N$7:$DR$7,"ĐT/VS"))</f>
        <v>0</v>
      </c>
      <c r="H102" s="60">
        <f>IF(E102="",0,SUMIFS($N102:$DR102,$N$7:$DR$7,$I$1,$N$6:$DR$6,2))</f>
        <v>0</v>
      </c>
      <c r="I102" s="60">
        <f>COUNTIF($N102:$DR102,$R$2)</f>
        <v>0</v>
      </c>
      <c r="J102" s="60">
        <f>COUNTIF($N102:$DR102,$O$3)</f>
        <v>0</v>
      </c>
      <c r="K102" s="60">
        <f>COUNTIF($N102:$DQ102,$R$1)</f>
        <v>0</v>
      </c>
      <c r="L102" s="60">
        <f>COUNTIF($N102:$DQ102,$O$2)</f>
        <v>0</v>
      </c>
      <c r="M102" s="60">
        <f>COUNTIF($N102:$DQ102,$O$1)</f>
        <v>0</v>
      </c>
      <c r="N102" s="61"/>
      <c r="O102" s="61"/>
      <c r="P102" s="61"/>
      <c r="Q102" s="61"/>
      <c r="R102" s="61"/>
      <c r="S102" s="61"/>
      <c r="T102" s="61"/>
      <c r="U102" s="61"/>
      <c r="V102" s="68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8"/>
      <c r="AV102" s="61"/>
      <c r="AW102" s="61"/>
      <c r="AX102" s="61"/>
      <c r="AY102" s="61"/>
      <c r="AZ102" s="61"/>
      <c r="BA102" s="61"/>
      <c r="BB102" s="80"/>
      <c r="BC102" s="61"/>
      <c r="BD102" s="61"/>
      <c r="BE102" s="61"/>
      <c r="BF102" s="77"/>
      <c r="BG102" s="61"/>
      <c r="BH102" s="61"/>
      <c r="BI102" s="61"/>
      <c r="BJ102" s="61"/>
      <c r="BK102" s="61"/>
      <c r="BL102" s="61"/>
      <c r="BM102" s="61"/>
      <c r="BN102" s="77"/>
      <c r="BO102" s="61"/>
      <c r="BP102" s="61"/>
      <c r="BQ102" s="61"/>
      <c r="BR102" s="61"/>
      <c r="BS102" s="61"/>
      <c r="BT102" s="68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 t="s">
        <v>458</v>
      </c>
      <c r="CH102" s="61"/>
      <c r="CI102" s="61"/>
      <c r="CJ102" s="61"/>
      <c r="CK102" s="61" t="s">
        <v>458</v>
      </c>
      <c r="CL102" s="61"/>
      <c r="CM102" s="86"/>
      <c r="CN102" s="61"/>
      <c r="CO102" s="61" t="s">
        <v>458</v>
      </c>
      <c r="CP102" s="61"/>
      <c r="CQ102" s="61"/>
      <c r="CR102" s="61"/>
      <c r="CS102" s="68"/>
      <c r="CT102" s="61" t="s">
        <v>458</v>
      </c>
      <c r="CU102" s="61"/>
      <c r="CV102" s="61"/>
      <c r="CW102" s="61"/>
      <c r="CX102" s="61" t="s">
        <v>458</v>
      </c>
      <c r="CY102" s="61"/>
      <c r="CZ102" s="86">
        <v>4</v>
      </c>
      <c r="DA102" s="61"/>
      <c r="DB102" s="61" t="s">
        <v>458</v>
      </c>
      <c r="DC102" s="61"/>
      <c r="DD102" s="61">
        <v>3.5</v>
      </c>
      <c r="DE102" s="61"/>
      <c r="DF102" s="61" t="s">
        <v>458</v>
      </c>
      <c r="DG102" s="61"/>
      <c r="DH102" s="61">
        <v>3.5</v>
      </c>
      <c r="DI102" s="61"/>
      <c r="DJ102" s="61" t="s">
        <v>458</v>
      </c>
      <c r="DK102" s="61"/>
      <c r="DL102" s="80">
        <v>4</v>
      </c>
      <c r="DM102" s="61"/>
      <c r="DN102" s="61" t="s">
        <v>458</v>
      </c>
      <c r="DO102" s="61"/>
      <c r="DP102" s="61"/>
      <c r="DQ102" s="61"/>
      <c r="DR102" s="68"/>
    </row>
    <row r="103" spans="1:122" x14ac:dyDescent="0.25">
      <c r="A103" s="59">
        <v>91</v>
      </c>
      <c r="B103" s="72" t="s">
        <v>502</v>
      </c>
      <c r="C103" s="73" t="s">
        <v>504</v>
      </c>
      <c r="D103" s="60">
        <f t="shared" si="22"/>
        <v>25</v>
      </c>
      <c r="E103" s="60">
        <f t="shared" ref="E103:E104" si="49">IF(C103="",0,SUMIFS($N103:$DR103,$N$7:$DR$7,$I$2,$N$6:$DR$6,1))</f>
        <v>0</v>
      </c>
      <c r="F103" s="60">
        <f t="shared" ref="F103:F104" si="50">IF(C103="",0,SUMIFS($N103:$DR103,$N$7:$DR$7,$I$3,$N$6:$DR$6,1))</f>
        <v>0</v>
      </c>
      <c r="G103" s="60">
        <f t="shared" ref="G103:G104" si="51">IF(C103="",0,SUMIFS(N103:DR103,$N$7:$DR$7,"ĐT/VS"))</f>
        <v>0</v>
      </c>
      <c r="H103" s="60">
        <f t="shared" ref="H103:H104" si="52">IF(E103="",0,SUMIFS($N103:$DR103,$N$7:$DR$7,$I$1,$N$6:$DR$6,2))</f>
        <v>0</v>
      </c>
      <c r="I103" s="60">
        <f t="shared" ref="I103:I106" si="53">COUNTIF($N103:$DR103,$R$2)</f>
        <v>0</v>
      </c>
      <c r="J103" s="60">
        <f t="shared" ref="J103:J106" si="54">COUNTIF($N103:$DR103,$O$3)</f>
        <v>0</v>
      </c>
      <c r="K103" s="60">
        <f t="shared" ref="K103:K106" si="55">COUNTIF($N103:$DQ103,$R$1)</f>
        <v>0</v>
      </c>
      <c r="L103" s="60">
        <f t="shared" ref="L103:L106" si="56">COUNTIF($N103:$DQ103,$O$2)</f>
        <v>0</v>
      </c>
      <c r="M103" s="60">
        <f t="shared" ref="M103:M106" si="57">COUNTIF($N103:$DQ103,$O$1)</f>
        <v>1</v>
      </c>
      <c r="N103" s="72" t="s">
        <v>458</v>
      </c>
      <c r="O103" s="72"/>
      <c r="P103" s="72"/>
      <c r="Q103" s="72"/>
      <c r="R103" s="72" t="s">
        <v>458</v>
      </c>
      <c r="S103" s="72"/>
      <c r="T103" s="72"/>
      <c r="U103" s="72"/>
      <c r="V103" s="72"/>
      <c r="W103" s="72" t="s">
        <v>458</v>
      </c>
      <c r="X103" s="72"/>
      <c r="Y103" s="72"/>
      <c r="Z103" s="72"/>
      <c r="AA103" s="72" t="s">
        <v>458</v>
      </c>
      <c r="AB103" s="72"/>
      <c r="AC103" s="72"/>
      <c r="AD103" s="72"/>
      <c r="AE103" s="72" t="s">
        <v>458</v>
      </c>
      <c r="AF103" s="72"/>
      <c r="AG103" s="72"/>
      <c r="AH103" s="72"/>
      <c r="AI103" s="72" t="s">
        <v>458</v>
      </c>
      <c r="AJ103" s="72"/>
      <c r="AK103" s="72"/>
      <c r="AL103" s="72"/>
      <c r="AM103" s="72" t="s">
        <v>458</v>
      </c>
      <c r="AN103" s="72"/>
      <c r="AO103" s="72"/>
      <c r="AP103" s="72"/>
      <c r="AQ103" s="72" t="s">
        <v>458</v>
      </c>
      <c r="AR103" s="72"/>
      <c r="AS103" s="72"/>
      <c r="AT103" s="72"/>
      <c r="AU103" s="68"/>
      <c r="AV103" s="72" t="s">
        <v>458</v>
      </c>
      <c r="AW103" s="72"/>
      <c r="AX103" s="72"/>
      <c r="AY103" s="72"/>
      <c r="AZ103" s="72" t="s">
        <v>458</v>
      </c>
      <c r="BA103" s="72"/>
      <c r="BB103" s="113"/>
      <c r="BC103" s="72"/>
      <c r="BD103" s="72" t="s">
        <v>458</v>
      </c>
      <c r="BE103" s="72"/>
      <c r="BF103" s="117"/>
      <c r="BG103" s="72"/>
      <c r="BH103" s="72" t="s">
        <v>458</v>
      </c>
      <c r="BI103" s="72"/>
      <c r="BJ103" s="72"/>
      <c r="BK103" s="72"/>
      <c r="BL103" s="72" t="s">
        <v>458</v>
      </c>
      <c r="BM103" s="72"/>
      <c r="BN103" s="117"/>
      <c r="BO103" s="72"/>
      <c r="BP103" s="72" t="s">
        <v>458</v>
      </c>
      <c r="BQ103" s="72"/>
      <c r="BR103" s="72"/>
      <c r="BS103" s="72"/>
      <c r="BT103" s="72"/>
      <c r="BU103" s="72" t="s">
        <v>458</v>
      </c>
      <c r="BV103" s="72"/>
      <c r="BW103" s="72"/>
      <c r="BX103" s="72"/>
      <c r="BY103" s="72" t="s">
        <v>458</v>
      </c>
      <c r="BZ103" s="72"/>
      <c r="CA103" s="72"/>
      <c r="CB103" s="72"/>
      <c r="CC103" s="72" t="s">
        <v>458</v>
      </c>
      <c r="CD103" s="72"/>
      <c r="CE103" s="72"/>
      <c r="CF103" s="72"/>
      <c r="CG103" s="72" t="s">
        <v>458</v>
      </c>
      <c r="CH103" s="72"/>
      <c r="CI103" s="72"/>
      <c r="CJ103" s="72"/>
      <c r="CK103" s="72" t="s">
        <v>458</v>
      </c>
      <c r="CL103" s="72"/>
      <c r="CM103" s="114"/>
      <c r="CN103" s="72"/>
      <c r="CO103" s="72" t="s">
        <v>458</v>
      </c>
      <c r="CP103" s="72"/>
      <c r="CQ103" s="72"/>
      <c r="CR103" s="72"/>
      <c r="CS103" s="72"/>
      <c r="CT103" s="72" t="s">
        <v>458</v>
      </c>
      <c r="CU103" s="72"/>
      <c r="CV103" s="72"/>
      <c r="CW103" s="72"/>
      <c r="CX103" s="72" t="s">
        <v>458</v>
      </c>
      <c r="CY103" s="72"/>
      <c r="CZ103" s="114"/>
      <c r="DA103" s="72"/>
      <c r="DB103" s="72" t="s">
        <v>458</v>
      </c>
      <c r="DC103" s="72"/>
      <c r="DD103" s="72"/>
      <c r="DE103" s="72"/>
      <c r="DF103" s="72" t="s">
        <v>458</v>
      </c>
      <c r="DG103" s="72"/>
      <c r="DH103" s="72"/>
      <c r="DI103" s="72"/>
      <c r="DJ103" s="72" t="s">
        <v>458</v>
      </c>
      <c r="DK103" s="72"/>
      <c r="DL103" s="113"/>
      <c r="DM103" s="72"/>
      <c r="DN103" s="72" t="s">
        <v>0</v>
      </c>
      <c r="DO103" s="72"/>
      <c r="DP103" s="72"/>
      <c r="DQ103" s="72"/>
      <c r="DR103" s="72"/>
    </row>
    <row r="104" spans="1:122" x14ac:dyDescent="0.25">
      <c r="A104" s="59">
        <v>92</v>
      </c>
      <c r="B104" s="72" t="s">
        <v>503</v>
      </c>
      <c r="C104" s="73" t="s">
        <v>505</v>
      </c>
      <c r="D104" s="60">
        <f>COUNTIF($N104:$DR104,$L$2)+COUNTIF($N104:$DR104,$L$3)/2</f>
        <v>22</v>
      </c>
      <c r="E104" s="60">
        <f t="shared" si="49"/>
        <v>0</v>
      </c>
      <c r="F104" s="60">
        <f t="shared" si="50"/>
        <v>0</v>
      </c>
      <c r="G104" s="60">
        <f t="shared" si="51"/>
        <v>0</v>
      </c>
      <c r="H104" s="60">
        <f t="shared" si="52"/>
        <v>0</v>
      </c>
      <c r="I104" s="60">
        <f t="shared" si="53"/>
        <v>0</v>
      </c>
      <c r="J104" s="60">
        <f t="shared" si="54"/>
        <v>0</v>
      </c>
      <c r="K104" s="60">
        <f t="shared" si="55"/>
        <v>0</v>
      </c>
      <c r="L104" s="60">
        <f t="shared" si="56"/>
        <v>0</v>
      </c>
      <c r="M104" s="60">
        <f t="shared" si="57"/>
        <v>0</v>
      </c>
      <c r="N104" s="72" t="s">
        <v>458</v>
      </c>
      <c r="O104" s="72"/>
      <c r="P104" s="72"/>
      <c r="Q104" s="72"/>
      <c r="R104" s="72" t="s">
        <v>458</v>
      </c>
      <c r="S104" s="72"/>
      <c r="T104" s="72"/>
      <c r="U104" s="72"/>
      <c r="V104" s="72"/>
      <c r="W104" s="72" t="s">
        <v>458</v>
      </c>
      <c r="X104" s="72"/>
      <c r="Y104" s="72"/>
      <c r="Z104" s="72"/>
      <c r="AA104" s="72" t="s">
        <v>458</v>
      </c>
      <c r="AB104" s="72"/>
      <c r="AC104" s="72"/>
      <c r="AD104" s="72"/>
      <c r="AE104" s="72"/>
      <c r="AF104" s="72"/>
      <c r="AG104" s="72"/>
      <c r="AH104" s="72"/>
      <c r="AI104" s="72" t="s">
        <v>458</v>
      </c>
      <c r="AJ104" s="72"/>
      <c r="AK104" s="72"/>
      <c r="AL104" s="72"/>
      <c r="AM104" s="72" t="s">
        <v>458</v>
      </c>
      <c r="AN104" s="72"/>
      <c r="AO104" s="72"/>
      <c r="AP104" s="72"/>
      <c r="AQ104" s="72" t="s">
        <v>458</v>
      </c>
      <c r="AR104" s="72"/>
      <c r="AS104" s="72"/>
      <c r="AT104" s="72"/>
      <c r="AU104" s="68"/>
      <c r="AV104" s="72"/>
      <c r="AW104" s="72"/>
      <c r="AX104" s="72"/>
      <c r="AY104" s="72"/>
      <c r="AZ104" s="72"/>
      <c r="BA104" s="72"/>
      <c r="BB104" s="113"/>
      <c r="BC104" s="72"/>
      <c r="BD104" s="72" t="s">
        <v>458</v>
      </c>
      <c r="BE104" s="72"/>
      <c r="BF104" s="117"/>
      <c r="BG104" s="72"/>
      <c r="BH104" s="72" t="s">
        <v>458</v>
      </c>
      <c r="BI104" s="72"/>
      <c r="BJ104" s="72"/>
      <c r="BK104" s="72"/>
      <c r="BL104" s="72" t="s">
        <v>458</v>
      </c>
      <c r="BM104" s="72"/>
      <c r="BN104" s="117"/>
      <c r="BO104" s="72"/>
      <c r="BP104" s="72" t="s">
        <v>458</v>
      </c>
      <c r="BQ104" s="72"/>
      <c r="BR104" s="72"/>
      <c r="BS104" s="72"/>
      <c r="BT104" s="72"/>
      <c r="BU104" s="72" t="s">
        <v>458</v>
      </c>
      <c r="BV104" s="72"/>
      <c r="BW104" s="72"/>
      <c r="BX104" s="72"/>
      <c r="BY104" s="72"/>
      <c r="BZ104" s="72"/>
      <c r="CA104" s="72"/>
      <c r="CB104" s="72"/>
      <c r="CC104" s="72" t="s">
        <v>458</v>
      </c>
      <c r="CD104" s="72"/>
      <c r="CE104" s="72"/>
      <c r="CF104" s="72"/>
      <c r="CG104" s="72" t="s">
        <v>458</v>
      </c>
      <c r="CH104" s="72"/>
      <c r="CI104" s="72"/>
      <c r="CJ104" s="72"/>
      <c r="CK104" s="72" t="s">
        <v>458</v>
      </c>
      <c r="CL104" s="72"/>
      <c r="CM104" s="114"/>
      <c r="CN104" s="72"/>
      <c r="CO104" s="72" t="s">
        <v>458</v>
      </c>
      <c r="CP104" s="72"/>
      <c r="CQ104" s="72"/>
      <c r="CR104" s="72"/>
      <c r="CS104" s="72"/>
      <c r="CT104" s="72" t="s">
        <v>458</v>
      </c>
      <c r="CU104" s="72"/>
      <c r="CV104" s="72"/>
      <c r="CW104" s="72"/>
      <c r="CX104" s="72" t="s">
        <v>458</v>
      </c>
      <c r="CY104" s="72"/>
      <c r="CZ104" s="114"/>
      <c r="DA104" s="72"/>
      <c r="DB104" s="72" t="s">
        <v>458</v>
      </c>
      <c r="DC104" s="72"/>
      <c r="DD104" s="72"/>
      <c r="DE104" s="72"/>
      <c r="DF104" s="72" t="s">
        <v>458</v>
      </c>
      <c r="DG104" s="72"/>
      <c r="DH104" s="72"/>
      <c r="DI104" s="72"/>
      <c r="DJ104" s="72" t="s">
        <v>458</v>
      </c>
      <c r="DK104" s="72"/>
      <c r="DL104" s="113"/>
      <c r="DM104" s="72"/>
      <c r="DN104" s="72" t="s">
        <v>458</v>
      </c>
      <c r="DO104" s="72"/>
      <c r="DP104" s="72"/>
      <c r="DQ104" s="72"/>
      <c r="DR104" s="72"/>
    </row>
    <row r="105" spans="1:122" x14ac:dyDescent="0.25">
      <c r="A105" s="59">
        <v>93</v>
      </c>
      <c r="B105" s="72" t="s">
        <v>568</v>
      </c>
      <c r="C105" s="73" t="s">
        <v>569</v>
      </c>
      <c r="D105" s="60">
        <f>COUNTIF($N105:$DR105,$L$2)+COUNTIF($N105:$DR105,$L$3)/2</f>
        <v>26</v>
      </c>
      <c r="E105" s="60"/>
      <c r="F105" s="60"/>
      <c r="G105" s="60"/>
      <c r="H105" s="60"/>
      <c r="I105" s="60"/>
      <c r="J105" s="60"/>
      <c r="K105" s="60"/>
      <c r="L105" s="60"/>
      <c r="M105" s="60"/>
      <c r="N105" s="72" t="s">
        <v>458</v>
      </c>
      <c r="O105" s="72"/>
      <c r="P105" s="72"/>
      <c r="Q105" s="72"/>
      <c r="R105" s="72" t="s">
        <v>458</v>
      </c>
      <c r="S105" s="72"/>
      <c r="T105" s="72"/>
      <c r="U105" s="72"/>
      <c r="V105" s="72"/>
      <c r="W105" s="72" t="s">
        <v>458</v>
      </c>
      <c r="X105" s="72"/>
      <c r="Y105" s="72"/>
      <c r="Z105" s="72"/>
      <c r="AA105" s="72" t="s">
        <v>458</v>
      </c>
      <c r="AB105" s="72"/>
      <c r="AC105" s="72"/>
      <c r="AD105" s="72"/>
      <c r="AE105" s="72" t="s">
        <v>458</v>
      </c>
      <c r="AF105" s="72"/>
      <c r="AG105" s="72"/>
      <c r="AH105" s="72"/>
      <c r="AI105" s="72" t="s">
        <v>458</v>
      </c>
      <c r="AJ105" s="72"/>
      <c r="AK105" s="72"/>
      <c r="AL105" s="72"/>
      <c r="AM105" s="72" t="s">
        <v>458</v>
      </c>
      <c r="AN105" s="72"/>
      <c r="AO105" s="72"/>
      <c r="AP105" s="72"/>
      <c r="AQ105" s="72" t="s">
        <v>458</v>
      </c>
      <c r="AR105" s="72"/>
      <c r="AS105" s="72"/>
      <c r="AT105" s="72"/>
      <c r="AU105" s="68"/>
      <c r="AV105" s="72" t="s">
        <v>458</v>
      </c>
      <c r="AW105" s="72"/>
      <c r="AX105" s="72"/>
      <c r="AY105" s="72"/>
      <c r="AZ105" s="72" t="s">
        <v>458</v>
      </c>
      <c r="BA105" s="72"/>
      <c r="BB105" s="113"/>
      <c r="BC105" s="72"/>
      <c r="BD105" s="72" t="s">
        <v>458</v>
      </c>
      <c r="BE105" s="72"/>
      <c r="BF105" s="117"/>
      <c r="BG105" s="72"/>
      <c r="BH105" s="72" t="s">
        <v>458</v>
      </c>
      <c r="BI105" s="72"/>
      <c r="BJ105" s="72"/>
      <c r="BK105" s="72"/>
      <c r="BL105" s="72" t="s">
        <v>458</v>
      </c>
      <c r="BM105" s="72"/>
      <c r="BN105" s="117"/>
      <c r="BO105" s="72"/>
      <c r="BP105" s="72" t="s">
        <v>458</v>
      </c>
      <c r="BQ105" s="72"/>
      <c r="BR105" s="72"/>
      <c r="BS105" s="72"/>
      <c r="BT105" s="72"/>
      <c r="BU105" s="72" t="s">
        <v>458</v>
      </c>
      <c r="BV105" s="72"/>
      <c r="BW105" s="72"/>
      <c r="BX105" s="72"/>
      <c r="BY105" s="72" t="s">
        <v>458</v>
      </c>
      <c r="BZ105" s="72"/>
      <c r="CA105" s="72"/>
      <c r="CB105" s="72"/>
      <c r="CC105" s="72" t="s">
        <v>458</v>
      </c>
      <c r="CD105" s="72"/>
      <c r="CE105" s="72"/>
      <c r="CF105" s="72"/>
      <c r="CG105" s="72" t="s">
        <v>458</v>
      </c>
      <c r="CH105" s="72"/>
      <c r="CI105" s="72"/>
      <c r="CJ105" s="72"/>
      <c r="CK105" s="72" t="s">
        <v>458</v>
      </c>
      <c r="CL105" s="72"/>
      <c r="CM105" s="114"/>
      <c r="CN105" s="72"/>
      <c r="CO105" s="72" t="s">
        <v>458</v>
      </c>
      <c r="CP105" s="72"/>
      <c r="CQ105" s="72"/>
      <c r="CR105" s="72"/>
      <c r="CS105" s="72"/>
      <c r="CT105" s="72" t="s">
        <v>458</v>
      </c>
      <c r="CU105" s="72"/>
      <c r="CV105" s="72"/>
      <c r="CW105" s="72"/>
      <c r="CX105" s="72" t="s">
        <v>458</v>
      </c>
      <c r="CY105" s="72"/>
      <c r="CZ105" s="114"/>
      <c r="DA105" s="72"/>
      <c r="DB105" s="72" t="s">
        <v>458</v>
      </c>
      <c r="DC105" s="72"/>
      <c r="DD105" s="72"/>
      <c r="DE105" s="72"/>
      <c r="DF105" s="72" t="s">
        <v>458</v>
      </c>
      <c r="DG105" s="72"/>
      <c r="DH105" s="72"/>
      <c r="DI105" s="72"/>
      <c r="DJ105" s="72" t="s">
        <v>458</v>
      </c>
      <c r="DK105" s="72"/>
      <c r="DL105" s="113"/>
      <c r="DM105" s="72"/>
      <c r="DN105" s="72" t="s">
        <v>458</v>
      </c>
      <c r="DO105" s="72"/>
      <c r="DP105" s="72"/>
      <c r="DQ105" s="72"/>
      <c r="DR105" s="72"/>
    </row>
    <row r="106" spans="1:122" x14ac:dyDescent="0.25">
      <c r="A106" s="73"/>
      <c r="B106" s="72" t="s">
        <v>534</v>
      </c>
      <c r="C106" s="73"/>
      <c r="D106" s="60">
        <f t="shared" si="22"/>
        <v>12</v>
      </c>
      <c r="E106" s="60">
        <f t="shared" ref="E106" si="58">IF(C106="",0,SUMIFS($N106:$DR106,$N$7:$DR$7,$I$2,$N$6:$DR$6,1))</f>
        <v>0</v>
      </c>
      <c r="F106" s="60">
        <f t="shared" ref="F106" si="59">IF(C106="",0,SUMIFS($N106:$DR106,$N$7:$DR$7,$I$3,$N$6:$DR$6,1))</f>
        <v>0</v>
      </c>
      <c r="G106" s="60">
        <f t="shared" ref="G106" si="60">IF(C106="",0,SUMIFS(N106:DR106,$N$7:$DR$7,"ĐT/VS"))</f>
        <v>0</v>
      </c>
      <c r="H106" s="60">
        <f t="shared" ref="H106" si="61">IF(E106="",0,SUMIFS($N106:$DR106,$N$7:$DR$7,$I$1,$N$6:$DR$6,2))</f>
        <v>0</v>
      </c>
      <c r="I106" s="60">
        <f t="shared" si="53"/>
        <v>0</v>
      </c>
      <c r="J106" s="60">
        <f t="shared" si="54"/>
        <v>0</v>
      </c>
      <c r="K106" s="60">
        <f t="shared" si="55"/>
        <v>0</v>
      </c>
      <c r="L106" s="60">
        <f t="shared" si="56"/>
        <v>0</v>
      </c>
      <c r="M106" s="60">
        <f t="shared" si="57"/>
        <v>0</v>
      </c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68"/>
      <c r="AV106" s="72"/>
      <c r="AW106" s="72"/>
      <c r="AX106" s="72"/>
      <c r="AY106" s="72"/>
      <c r="AZ106" s="72"/>
      <c r="BA106" s="72"/>
      <c r="BB106" s="113"/>
      <c r="BC106" s="72"/>
      <c r="BD106" s="72"/>
      <c r="BE106" s="72"/>
      <c r="BF106" s="117"/>
      <c r="BG106" s="72"/>
      <c r="BH106" s="72"/>
      <c r="BI106" s="72"/>
      <c r="BJ106" s="72"/>
      <c r="BK106" s="72"/>
      <c r="BL106" s="72"/>
      <c r="BM106" s="72"/>
      <c r="BN106" s="117"/>
      <c r="BO106" s="72"/>
      <c r="BP106" s="72"/>
      <c r="BQ106" s="72"/>
      <c r="BR106" s="72"/>
      <c r="BS106" s="72"/>
      <c r="BT106" s="72"/>
      <c r="BU106" s="72"/>
      <c r="BV106" s="72"/>
      <c r="BW106" s="72"/>
      <c r="BX106" s="72"/>
      <c r="BY106" s="72"/>
      <c r="BZ106" s="72"/>
      <c r="CA106" s="72"/>
      <c r="CB106" s="72"/>
      <c r="CC106" s="72" t="s">
        <v>458</v>
      </c>
      <c r="CD106" s="72"/>
      <c r="CE106" s="72"/>
      <c r="CF106" s="72"/>
      <c r="CG106" s="72" t="s">
        <v>458</v>
      </c>
      <c r="CH106" s="72"/>
      <c r="CI106" s="72"/>
      <c r="CJ106" s="72"/>
      <c r="CK106" s="72" t="s">
        <v>458</v>
      </c>
      <c r="CL106" s="72"/>
      <c r="CM106" s="114"/>
      <c r="CN106" s="72"/>
      <c r="CO106" s="72" t="s">
        <v>458</v>
      </c>
      <c r="CP106" s="72"/>
      <c r="CQ106" s="72"/>
      <c r="CR106" s="72"/>
      <c r="CS106" s="72" t="s">
        <v>458</v>
      </c>
      <c r="CT106" s="72" t="s">
        <v>458</v>
      </c>
      <c r="CU106" s="72"/>
      <c r="CV106" s="72"/>
      <c r="CW106" s="72"/>
      <c r="CX106" s="72" t="s">
        <v>458</v>
      </c>
      <c r="CY106" s="72"/>
      <c r="CZ106" s="114"/>
      <c r="DA106" s="72"/>
      <c r="DB106" s="72" t="s">
        <v>458</v>
      </c>
      <c r="DC106" s="72"/>
      <c r="DD106" s="72"/>
      <c r="DE106" s="72"/>
      <c r="DF106" s="72" t="s">
        <v>458</v>
      </c>
      <c r="DG106" s="72"/>
      <c r="DH106" s="72"/>
      <c r="DI106" s="72"/>
      <c r="DJ106" s="72" t="s">
        <v>458</v>
      </c>
      <c r="DK106" s="72"/>
      <c r="DL106" s="113"/>
      <c r="DM106" s="72"/>
      <c r="DN106" s="72" t="s">
        <v>458</v>
      </c>
      <c r="DO106" s="72"/>
      <c r="DP106" s="72"/>
      <c r="DQ106" s="72"/>
      <c r="DR106" s="72" t="s">
        <v>458</v>
      </c>
    </row>
  </sheetData>
  <autoFilter ref="A7:DR106" xr:uid="{00000000-0009-0000-0000-000001000000}"/>
  <mergeCells count="94">
    <mergeCell ref="P1:Q1"/>
    <mergeCell ref="P2:Q2"/>
    <mergeCell ref="P3:Q3"/>
    <mergeCell ref="DB4:DE4"/>
    <mergeCell ref="DF4:DI4"/>
    <mergeCell ref="AE4:AH4"/>
    <mergeCell ref="BU4:BX4"/>
    <mergeCell ref="BY4:CB4"/>
    <mergeCell ref="CC4:CF4"/>
    <mergeCell ref="CG4:CJ4"/>
    <mergeCell ref="AZ4:BC4"/>
    <mergeCell ref="BD4:BG4"/>
    <mergeCell ref="BH4:BK4"/>
    <mergeCell ref="BL4:BO4"/>
    <mergeCell ref="BP4:BS4"/>
    <mergeCell ref="DJ4:DM4"/>
    <mergeCell ref="DN4:DQ4"/>
    <mergeCell ref="CK4:CN4"/>
    <mergeCell ref="CO4:CR4"/>
    <mergeCell ref="CT4:CW4"/>
    <mergeCell ref="CX4:DA4"/>
    <mergeCell ref="I4:M4"/>
    <mergeCell ref="N4:Q4"/>
    <mergeCell ref="AV5:AY5"/>
    <mergeCell ref="DJ5:DM5"/>
    <mergeCell ref="BP5:BS5"/>
    <mergeCell ref="AM5:AP5"/>
    <mergeCell ref="AQ5:AT5"/>
    <mergeCell ref="AZ5:BC5"/>
    <mergeCell ref="BD5:BG5"/>
    <mergeCell ref="AI4:AL4"/>
    <mergeCell ref="AM4:AP4"/>
    <mergeCell ref="AQ4:AT4"/>
    <mergeCell ref="AV4:AY4"/>
    <mergeCell ref="R4:U4"/>
    <mergeCell ref="W4:Z4"/>
    <mergeCell ref="AA4:AD4"/>
    <mergeCell ref="DN5:DQ5"/>
    <mergeCell ref="BH5:BK5"/>
    <mergeCell ref="BL5:BO5"/>
    <mergeCell ref="DB5:DE5"/>
    <mergeCell ref="DF5:DI5"/>
    <mergeCell ref="CX5:DA5"/>
    <mergeCell ref="CC5:CF5"/>
    <mergeCell ref="CG5:CJ5"/>
    <mergeCell ref="CK5:CN5"/>
    <mergeCell ref="CO5:CR5"/>
    <mergeCell ref="CT5:CW5"/>
    <mergeCell ref="BY5:CB5"/>
    <mergeCell ref="BU5:BX5"/>
    <mergeCell ref="BY6:CB6"/>
    <mergeCell ref="AM6:AP6"/>
    <mergeCell ref="AQ6:AT6"/>
    <mergeCell ref="AV6:AY6"/>
    <mergeCell ref="AZ6:BC6"/>
    <mergeCell ref="BH6:BK6"/>
    <mergeCell ref="BL6:BO6"/>
    <mergeCell ref="BP6:BS6"/>
    <mergeCell ref="BU6:BX6"/>
    <mergeCell ref="DN6:DQ6"/>
    <mergeCell ref="CC6:CF6"/>
    <mergeCell ref="CG6:CJ6"/>
    <mergeCell ref="CK6:CN6"/>
    <mergeCell ref="CO6:CR6"/>
    <mergeCell ref="CT6:CW6"/>
    <mergeCell ref="CX6:DA6"/>
    <mergeCell ref="DB6:DE6"/>
    <mergeCell ref="DF6:DI6"/>
    <mergeCell ref="DJ6:DM6"/>
    <mergeCell ref="N6:Q6"/>
    <mergeCell ref="N5:Q5"/>
    <mergeCell ref="BD6:BG6"/>
    <mergeCell ref="R6:U6"/>
    <mergeCell ref="W6:Z6"/>
    <mergeCell ref="AA6:AD6"/>
    <mergeCell ref="AE6:AH6"/>
    <mergeCell ref="AI6:AL6"/>
    <mergeCell ref="AI5:AL5"/>
    <mergeCell ref="R5:U5"/>
    <mergeCell ref="W5:Z5"/>
    <mergeCell ref="AA5:AD5"/>
    <mergeCell ref="AE5:AH5"/>
    <mergeCell ref="A1:H1"/>
    <mergeCell ref="A2:H2"/>
    <mergeCell ref="A3:H3"/>
    <mergeCell ref="C5:C6"/>
    <mergeCell ref="B5:B6"/>
    <mergeCell ref="A5:A6"/>
    <mergeCell ref="D4:G4"/>
    <mergeCell ref="A8:C8"/>
    <mergeCell ref="A39:C39"/>
    <mergeCell ref="A94:C94"/>
    <mergeCell ref="A45:C45"/>
    <mergeCell ref="A90:C90"/>
  </mergeCells>
  <conditionalFormatting sqref="B9:C36 B38:C38 B40:C44 B46:C57 B59:C78 C84:C85 C91 B92:C93 B95:C97 B100:C102">
    <cfRule type="expression" dxfId="24" priority="1">
      <formula>$V9&lt;&gt;""</formula>
    </cfRule>
  </conditionalFormatting>
  <pageMargins left="0.7" right="0.7" top="0.75" bottom="0.75" header="0.3" footer="0.3"/>
  <pageSetup orientation="landscape" horizontalDpi="300" verticalDpi="3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7BAADCD-09CA-4049-8B15-E383DEA5ADA4}">
            <xm:f>AND(TODAY()-$R9&gt;=90,$U9='\PHỤNG\CHẤM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B9:C36 B38:C38 B40:C44 B46:C57 B59:C78 C84:C85 C91 B92:C93 B95:C97 B100:C102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2:AP96"/>
  <sheetViews>
    <sheetView workbookViewId="0">
      <pane xSplit="3" ySplit="8" topLeftCell="Y12" activePane="bottomRight" state="frozen"/>
      <selection pane="topRight" activeCell="D1" sqref="D1"/>
      <selection pane="bottomLeft" activeCell="A9" sqref="A9"/>
      <selection pane="bottomRight" activeCell="AI100" sqref="AI100:AI101"/>
    </sheetView>
  </sheetViews>
  <sheetFormatPr defaultColWidth="9.140625" defaultRowHeight="15" x14ac:dyDescent="0.25"/>
  <cols>
    <col min="1" max="1" width="6.85546875" style="119" customWidth="1"/>
    <col min="2" max="2" width="9.140625" style="119"/>
    <col min="3" max="3" width="21.28515625" style="119" customWidth="1"/>
    <col min="4" max="4" width="12.140625" style="121" bestFit="1" customWidth="1"/>
    <col min="5" max="5" width="13.140625" style="121" bestFit="1" customWidth="1"/>
    <col min="6" max="6" width="12.7109375" style="129" bestFit="1" customWidth="1"/>
    <col min="7" max="7" width="12.5703125" style="129" customWidth="1"/>
    <col min="8" max="8" width="10.5703125" style="129" bestFit="1" customWidth="1"/>
    <col min="9" max="9" width="11.5703125" style="129" customWidth="1"/>
    <col min="10" max="10" width="12.140625" style="129" customWidth="1"/>
    <col min="11" max="11" width="12.5703125" style="129" bestFit="1" customWidth="1"/>
    <col min="12" max="12" width="14.140625" style="129" bestFit="1" customWidth="1"/>
    <col min="13" max="13" width="9.42578125" style="130" bestFit="1" customWidth="1"/>
    <col min="14" max="14" width="9.7109375" style="130" bestFit="1" customWidth="1"/>
    <col min="15" max="22" width="9.42578125" style="130" bestFit="1" customWidth="1"/>
    <col min="23" max="23" width="16" style="129" bestFit="1" customWidth="1"/>
    <col min="24" max="25" width="13.42578125" style="129" bestFit="1" customWidth="1"/>
    <col min="26" max="26" width="12.7109375" style="129" bestFit="1" customWidth="1"/>
    <col min="27" max="27" width="14" style="129" bestFit="1" customWidth="1"/>
    <col min="28" max="29" width="10.85546875" style="129" bestFit="1" customWidth="1"/>
    <col min="30" max="30" width="12.42578125" style="129" bestFit="1" customWidth="1"/>
    <col min="31" max="31" width="11.140625" style="129" bestFit="1" customWidth="1"/>
    <col min="32" max="32" width="13.28515625" style="129" bestFit="1" customWidth="1"/>
    <col min="33" max="33" width="15.85546875" style="190" bestFit="1" customWidth="1"/>
    <col min="34" max="34" width="15.85546875" style="129" customWidth="1"/>
    <col min="35" max="35" width="12.7109375" style="129" bestFit="1" customWidth="1"/>
    <col min="36" max="36" width="9.140625" style="129"/>
    <col min="37" max="37" width="10.5703125" style="129" bestFit="1" customWidth="1"/>
    <col min="38" max="38" width="10.5703125" style="129" customWidth="1"/>
    <col min="39" max="39" width="14.42578125" style="129" customWidth="1"/>
    <col min="40" max="40" width="15.7109375" style="142" bestFit="1" customWidth="1"/>
    <col min="41" max="41" width="14.7109375" style="119" bestFit="1" customWidth="1"/>
    <col min="42" max="42" width="12" style="119" bestFit="1" customWidth="1"/>
    <col min="43" max="16384" width="9.140625" style="119"/>
  </cols>
  <sheetData>
    <row r="2" spans="1:40" ht="25.5" x14ac:dyDescent="0.25">
      <c r="A2" s="387" t="s">
        <v>533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40" x14ac:dyDescent="0.25">
      <c r="AN3" s="142">
        <f>+SUM(AN9:AN38)+SUM(AN40:AN44)+SUM(AN46:AN88)+SUM(AN90:AN96)</f>
        <v>554116575.32051277</v>
      </c>
    </row>
    <row r="4" spans="1:40" ht="15" customHeight="1" x14ac:dyDescent="0.25">
      <c r="A4" s="388" t="s">
        <v>15</v>
      </c>
      <c r="B4" s="388" t="s">
        <v>16</v>
      </c>
      <c r="C4" s="388" t="s">
        <v>17</v>
      </c>
      <c r="D4" s="388" t="s">
        <v>524</v>
      </c>
      <c r="E4" s="388" t="s">
        <v>528</v>
      </c>
      <c r="F4" s="393" t="s">
        <v>507</v>
      </c>
      <c r="G4" s="377" t="s">
        <v>523</v>
      </c>
      <c r="H4" s="377"/>
      <c r="I4" s="377"/>
      <c r="J4" s="377"/>
      <c r="K4" s="377"/>
      <c r="L4" s="377"/>
      <c r="M4" s="396" t="s">
        <v>508</v>
      </c>
      <c r="N4" s="396"/>
      <c r="O4" s="396"/>
      <c r="P4" s="396"/>
      <c r="Q4" s="396"/>
      <c r="R4" s="396"/>
      <c r="S4" s="396"/>
      <c r="T4" s="396"/>
      <c r="U4" s="396"/>
      <c r="V4" s="396"/>
      <c r="W4" s="419" t="s">
        <v>509</v>
      </c>
      <c r="X4" s="419"/>
      <c r="Y4" s="419"/>
      <c r="Z4" s="419"/>
      <c r="AA4" s="414" t="s">
        <v>532</v>
      </c>
      <c r="AB4" s="415"/>
      <c r="AC4" s="415"/>
      <c r="AD4" s="415"/>
      <c r="AE4" s="415"/>
      <c r="AF4" s="416"/>
      <c r="AG4" s="406" t="s">
        <v>510</v>
      </c>
      <c r="AH4" s="408" t="s">
        <v>584</v>
      </c>
      <c r="AI4" s="420" t="s">
        <v>511</v>
      </c>
      <c r="AJ4" s="421"/>
      <c r="AK4" s="421"/>
      <c r="AL4" s="422"/>
      <c r="AM4" s="408" t="s">
        <v>525</v>
      </c>
      <c r="AN4" s="411" t="s">
        <v>512</v>
      </c>
    </row>
    <row r="5" spans="1:40" x14ac:dyDescent="0.25">
      <c r="A5" s="389"/>
      <c r="B5" s="389"/>
      <c r="C5" s="389"/>
      <c r="D5" s="389"/>
      <c r="E5" s="389"/>
      <c r="F5" s="391"/>
      <c r="G5" s="391" t="s">
        <v>195</v>
      </c>
      <c r="H5" s="391" t="s">
        <v>194</v>
      </c>
      <c r="I5" s="391" t="s">
        <v>196</v>
      </c>
      <c r="J5" s="391" t="s">
        <v>522</v>
      </c>
      <c r="K5" s="391" t="s">
        <v>197</v>
      </c>
      <c r="L5" s="391" t="s">
        <v>198</v>
      </c>
      <c r="M5" s="394" t="s">
        <v>18</v>
      </c>
      <c r="N5" s="394"/>
      <c r="O5" s="394"/>
      <c r="P5" s="394"/>
      <c r="Q5" s="124" t="s">
        <v>12</v>
      </c>
      <c r="R5" s="395" t="s">
        <v>19</v>
      </c>
      <c r="S5" s="395"/>
      <c r="T5" s="395"/>
      <c r="U5" s="395"/>
      <c r="V5" s="395"/>
      <c r="W5" s="417" t="s">
        <v>514</v>
      </c>
      <c r="X5" s="417" t="s">
        <v>531</v>
      </c>
      <c r="Y5" s="417" t="s">
        <v>530</v>
      </c>
      <c r="Z5" s="417" t="s">
        <v>529</v>
      </c>
      <c r="AA5" s="417" t="s">
        <v>195</v>
      </c>
      <c r="AB5" s="417" t="s">
        <v>194</v>
      </c>
      <c r="AC5" s="417" t="s">
        <v>196</v>
      </c>
      <c r="AD5" s="417" t="s">
        <v>513</v>
      </c>
      <c r="AE5" s="417" t="s">
        <v>197</v>
      </c>
      <c r="AF5" s="417" t="s">
        <v>198</v>
      </c>
      <c r="AG5" s="407"/>
      <c r="AH5" s="409"/>
      <c r="AI5" s="417" t="s">
        <v>454</v>
      </c>
      <c r="AJ5" s="417" t="s">
        <v>526</v>
      </c>
      <c r="AK5" s="417" t="s">
        <v>527</v>
      </c>
      <c r="AL5" s="423" t="s">
        <v>558</v>
      </c>
      <c r="AM5" s="409"/>
      <c r="AN5" s="412"/>
    </row>
    <row r="6" spans="1:40" ht="25.5" x14ac:dyDescent="0.25">
      <c r="A6" s="390"/>
      <c r="B6" s="390"/>
      <c r="C6" s="390"/>
      <c r="D6" s="390"/>
      <c r="E6" s="390"/>
      <c r="F6" s="392"/>
      <c r="G6" s="392"/>
      <c r="H6" s="392"/>
      <c r="I6" s="392"/>
      <c r="J6" s="392"/>
      <c r="K6" s="392"/>
      <c r="L6" s="392"/>
      <c r="M6" s="123" t="s">
        <v>1</v>
      </c>
      <c r="N6" s="123" t="s">
        <v>5</v>
      </c>
      <c r="O6" s="123" t="s">
        <v>10</v>
      </c>
      <c r="P6" s="123" t="s">
        <v>454</v>
      </c>
      <c r="Q6" s="125" t="s">
        <v>1</v>
      </c>
      <c r="R6" s="125" t="s">
        <v>20</v>
      </c>
      <c r="S6" s="125" t="s">
        <v>578</v>
      </c>
      <c r="T6" s="125" t="s">
        <v>22</v>
      </c>
      <c r="U6" s="125" t="s">
        <v>23</v>
      </c>
      <c r="V6" s="125" t="s">
        <v>455</v>
      </c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07"/>
      <c r="AH6" s="410"/>
      <c r="AI6" s="418"/>
      <c r="AJ6" s="418"/>
      <c r="AK6" s="418"/>
      <c r="AL6" s="418"/>
      <c r="AM6" s="410"/>
      <c r="AN6" s="413"/>
    </row>
    <row r="7" spans="1:40" hidden="1" x14ac:dyDescent="0.25">
      <c r="A7" s="194"/>
      <c r="B7" s="195"/>
      <c r="C7" s="195"/>
      <c r="D7" s="195"/>
      <c r="E7" s="195">
        <v>1</v>
      </c>
      <c r="F7" s="196">
        <v>2</v>
      </c>
      <c r="G7" s="195">
        <v>3</v>
      </c>
      <c r="H7" s="196">
        <v>4</v>
      </c>
      <c r="I7" s="195">
        <v>5</v>
      </c>
      <c r="J7" s="196">
        <v>6</v>
      </c>
      <c r="K7" s="195">
        <v>7</v>
      </c>
      <c r="L7" s="196">
        <v>8</v>
      </c>
      <c r="M7" s="195">
        <v>9</v>
      </c>
      <c r="N7" s="196">
        <v>10</v>
      </c>
      <c r="O7" s="195">
        <v>11</v>
      </c>
      <c r="P7" s="196">
        <v>12</v>
      </c>
      <c r="Q7" s="195">
        <v>13</v>
      </c>
      <c r="R7" s="196">
        <v>14</v>
      </c>
      <c r="S7" s="195">
        <v>15</v>
      </c>
      <c r="T7" s="196">
        <v>16</v>
      </c>
      <c r="U7" s="195">
        <v>17</v>
      </c>
      <c r="V7" s="196">
        <v>18</v>
      </c>
      <c r="W7" s="195">
        <v>19</v>
      </c>
      <c r="X7" s="196">
        <v>20</v>
      </c>
      <c r="Y7" s="195">
        <v>21</v>
      </c>
      <c r="Z7" s="196">
        <v>22</v>
      </c>
      <c r="AA7" s="195">
        <v>23</v>
      </c>
      <c r="AB7" s="196">
        <v>24</v>
      </c>
      <c r="AC7" s="195">
        <v>25</v>
      </c>
      <c r="AD7" s="196">
        <v>26</v>
      </c>
      <c r="AE7" s="195">
        <v>27</v>
      </c>
      <c r="AF7" s="196">
        <v>28</v>
      </c>
      <c r="AG7" s="195">
        <v>29</v>
      </c>
      <c r="AH7" s="196">
        <v>30</v>
      </c>
      <c r="AI7" s="195">
        <v>31</v>
      </c>
      <c r="AJ7" s="196">
        <v>32</v>
      </c>
      <c r="AK7" s="195">
        <v>33</v>
      </c>
      <c r="AL7" s="196">
        <v>34</v>
      </c>
      <c r="AM7" s="195">
        <v>35</v>
      </c>
      <c r="AN7" s="196">
        <v>36</v>
      </c>
    </row>
    <row r="8" spans="1:40" ht="15" hidden="1" customHeight="1" x14ac:dyDescent="0.25">
      <c r="A8" s="403" t="s">
        <v>517</v>
      </c>
      <c r="B8" s="404"/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N8" s="405"/>
    </row>
    <row r="9" spans="1:40" s="120" customFormat="1" hidden="1" x14ac:dyDescent="0.25">
      <c r="A9" s="133">
        <v>1</v>
      </c>
      <c r="B9" s="134" t="s">
        <v>34</v>
      </c>
      <c r="C9" s="135" t="s">
        <v>35</v>
      </c>
      <c r="D9" s="134">
        <v>26</v>
      </c>
      <c r="E9" s="136">
        <f>SUM(F9:L9)</f>
        <v>5500000</v>
      </c>
      <c r="F9" s="137">
        <v>4450000</v>
      </c>
      <c r="G9" s="137">
        <v>500000</v>
      </c>
      <c r="H9" s="137">
        <v>250000</v>
      </c>
      <c r="I9" s="137"/>
      <c r="J9" s="137"/>
      <c r="K9" s="137">
        <v>300000</v>
      </c>
      <c r="L9" s="137"/>
      <c r="M9" s="138">
        <f>'BẢNG CHẤM CÔNG T3'!D9</f>
        <v>18</v>
      </c>
      <c r="N9" s="138">
        <f>'BẢNG CHẤM CÔNG T3'!E9</f>
        <v>55</v>
      </c>
      <c r="O9" s="138">
        <f>'BẢNG CHẤM CÔNG T3'!F9</f>
        <v>2.2999999999999998</v>
      </c>
      <c r="P9" s="138">
        <f>'BẢNG CHẤM CÔNG T3'!G9</f>
        <v>0</v>
      </c>
      <c r="Q9" s="138">
        <f>'BẢNG CHẤM CÔNG T3'!H9</f>
        <v>10</v>
      </c>
      <c r="R9" s="138">
        <f>'BẢNG CHẤM CÔNG T3'!I9</f>
        <v>0</v>
      </c>
      <c r="S9" s="138">
        <f>'BẢNG CHẤM CÔNG T3'!J9</f>
        <v>0</v>
      </c>
      <c r="T9" s="138">
        <f>'BẢNG CHẤM CÔNG T3'!K9</f>
        <v>0</v>
      </c>
      <c r="U9" s="138">
        <f>'BẢNG CHẤM CÔNG T3'!L9</f>
        <v>1</v>
      </c>
      <c r="V9" s="138">
        <f>'BẢNG CHẤM CÔNG T3'!M9</f>
        <v>0</v>
      </c>
      <c r="W9" s="139">
        <f>F9/D9*M9</f>
        <v>3080769.230769231</v>
      </c>
      <c r="X9" s="139">
        <f>F9/D9/8*N9*1.5</f>
        <v>1765024.0384615385</v>
      </c>
      <c r="Y9" s="139">
        <f>F9/D9/8*O9*1.8</f>
        <v>88572.115384615376</v>
      </c>
      <c r="Z9" s="139">
        <f>F9/D9/8*Q9*2</f>
        <v>427884.61538461538</v>
      </c>
      <c r="AA9" s="139">
        <f>G9/D9*M9</f>
        <v>346153.84615384613</v>
      </c>
      <c r="AB9" s="139">
        <f>H9/D9*M9</f>
        <v>173076.92307692306</v>
      </c>
      <c r="AC9" s="139">
        <f>I9/D9*M9</f>
        <v>0</v>
      </c>
      <c r="AD9" s="139">
        <f>J9/D9*M9</f>
        <v>0</v>
      </c>
      <c r="AE9" s="139">
        <f>K9/D9*M9</f>
        <v>207692.30769230769</v>
      </c>
      <c r="AF9" s="139">
        <f>L9/D9*M9</f>
        <v>0</v>
      </c>
      <c r="AG9" s="139">
        <f>SUM(W9:AF9)</f>
        <v>6089173.076923077</v>
      </c>
      <c r="AH9" s="139"/>
      <c r="AI9" s="139">
        <f>F9/D9/8*P9</f>
        <v>0</v>
      </c>
      <c r="AJ9" s="139"/>
      <c r="AK9" s="139">
        <v>300000</v>
      </c>
      <c r="AL9" s="139"/>
      <c r="AM9" s="139">
        <f t="shared" ref="AM9:AM38" si="0">SUM(AI9:AK9)</f>
        <v>300000</v>
      </c>
      <c r="AN9" s="180">
        <f t="shared" ref="AN9:AN38" si="1">AG9-AM9</f>
        <v>5789173.076923077</v>
      </c>
    </row>
    <row r="10" spans="1:40" s="120" customFormat="1" hidden="1" x14ac:dyDescent="0.25">
      <c r="A10" s="133">
        <v>2</v>
      </c>
      <c r="B10" s="134" t="s">
        <v>36</v>
      </c>
      <c r="C10" s="135" t="s">
        <v>37</v>
      </c>
      <c r="D10" s="134">
        <v>26</v>
      </c>
      <c r="E10" s="136">
        <f t="shared" ref="E10:E38" si="2">SUM(F10:L10)</f>
        <v>6000000</v>
      </c>
      <c r="F10" s="137">
        <v>4450000</v>
      </c>
      <c r="G10" s="137">
        <v>500000</v>
      </c>
      <c r="H10" s="137">
        <v>250000</v>
      </c>
      <c r="I10" s="137"/>
      <c r="J10" s="137"/>
      <c r="K10" s="137">
        <v>300000</v>
      </c>
      <c r="L10" s="137">
        <v>500000</v>
      </c>
      <c r="M10" s="138">
        <f>'BẢNG CHẤM CÔNG T3'!D10</f>
        <v>15.5</v>
      </c>
      <c r="N10" s="138">
        <f>'BẢNG CHẤM CÔNG T3'!E10</f>
        <v>31.5</v>
      </c>
      <c r="O10" s="138">
        <f>'BẢNG CHẤM CÔNG T3'!F10</f>
        <v>1.5</v>
      </c>
      <c r="P10" s="138">
        <f>'BẢNG CHẤM CÔNG T3'!G10</f>
        <v>0</v>
      </c>
      <c r="Q10" s="138">
        <f>'BẢNG CHẤM CÔNG T3'!H10</f>
        <v>10</v>
      </c>
      <c r="R10" s="138">
        <f>'BẢNG CHẤM CÔNG T3'!I10</f>
        <v>0</v>
      </c>
      <c r="S10" s="138">
        <f>'BẢNG CHẤM CÔNG T3'!J10</f>
        <v>1</v>
      </c>
      <c r="T10" s="138">
        <f>'BẢNG CHẤM CÔNG T3'!K10</f>
        <v>0</v>
      </c>
      <c r="U10" s="138">
        <f>'BẢNG CHẤM CÔNG T3'!L10</f>
        <v>1</v>
      </c>
      <c r="V10" s="138">
        <f>'BẢNG CHẤM CÔNG T3'!M10</f>
        <v>0</v>
      </c>
      <c r="W10" s="139">
        <f t="shared" ref="W10:W37" si="3">F10/D10*M10</f>
        <v>2652884.6153846155</v>
      </c>
      <c r="X10" s="139">
        <f t="shared" ref="X10:X73" si="4">F10/D10/8*N10*1.5</f>
        <v>1010877.4038461539</v>
      </c>
      <c r="Y10" s="139">
        <f t="shared" ref="Y10:Y37" si="5">F10/D10/8*O10*1.8</f>
        <v>57764.423076923085</v>
      </c>
      <c r="Z10" s="139">
        <f t="shared" ref="Z10:Z43" si="6">F10/D10/8*Q10*2</f>
        <v>427884.61538461538</v>
      </c>
      <c r="AA10" s="139">
        <f t="shared" ref="AA10:AA73" si="7">G10/D10*M10</f>
        <v>298076.92307692306</v>
      </c>
      <c r="AB10" s="139">
        <f t="shared" ref="AB10:AB37" si="8">H10/D10*M10</f>
        <v>149038.46153846153</v>
      </c>
      <c r="AC10" s="139">
        <f t="shared" ref="AC10:AC73" si="9">I10/D10*M10</f>
        <v>0</v>
      </c>
      <c r="AD10" s="139">
        <f t="shared" ref="AD10:AD73" si="10">J10/D10*M10</f>
        <v>0</v>
      </c>
      <c r="AE10" s="139">
        <f>K10/D10*M10</f>
        <v>178846.15384615384</v>
      </c>
      <c r="AF10" s="139">
        <f>L10/D10*M10</f>
        <v>298076.92307692306</v>
      </c>
      <c r="AG10" s="139">
        <f t="shared" ref="AG10:AG73" si="11">SUM(W10:AF10)</f>
        <v>5073449.5192307699</v>
      </c>
      <c r="AH10" s="139"/>
      <c r="AI10" s="139">
        <f t="shared" ref="AI10:AI73" si="12">F10/D10/8*P10</f>
        <v>0</v>
      </c>
      <c r="AJ10" s="139"/>
      <c r="AK10" s="139">
        <v>300000</v>
      </c>
      <c r="AL10" s="139"/>
      <c r="AM10" s="139">
        <f t="shared" si="0"/>
        <v>300000</v>
      </c>
      <c r="AN10" s="180">
        <f t="shared" si="1"/>
        <v>4773449.5192307699</v>
      </c>
    </row>
    <row r="11" spans="1:40" s="120" customFormat="1" hidden="1" x14ac:dyDescent="0.25">
      <c r="A11" s="133">
        <v>3</v>
      </c>
      <c r="B11" s="134" t="s">
        <v>38</v>
      </c>
      <c r="C11" s="135" t="s">
        <v>39</v>
      </c>
      <c r="D11" s="134">
        <v>26</v>
      </c>
      <c r="E11" s="136">
        <f t="shared" si="2"/>
        <v>6000000</v>
      </c>
      <c r="F11" s="137">
        <v>4450000</v>
      </c>
      <c r="G11" s="137">
        <v>500000</v>
      </c>
      <c r="H11" s="137">
        <v>250000</v>
      </c>
      <c r="I11" s="137"/>
      <c r="J11" s="137"/>
      <c r="K11" s="137">
        <v>300000</v>
      </c>
      <c r="L11" s="137">
        <v>500000</v>
      </c>
      <c r="M11" s="138">
        <f>'BẢNG CHẤM CÔNG T3'!D11</f>
        <v>16.5</v>
      </c>
      <c r="N11" s="138">
        <f>'BẢNG CHẤM CÔNG T3'!E11</f>
        <v>32.5</v>
      </c>
      <c r="O11" s="138">
        <f>'BẢNG CHẤM CÔNG T3'!F11</f>
        <v>0</v>
      </c>
      <c r="P11" s="138">
        <f>'BẢNG CHẤM CÔNG T3'!G11</f>
        <v>0</v>
      </c>
      <c r="Q11" s="138">
        <f>'BẢNG CHẤM CÔNG T3'!H11</f>
        <v>0</v>
      </c>
      <c r="R11" s="138">
        <f>'BẢNG CHẤM CÔNG T3'!I11</f>
        <v>0</v>
      </c>
      <c r="S11" s="138">
        <f>'BẢNG CHẤM CÔNG T3'!J11</f>
        <v>0</v>
      </c>
      <c r="T11" s="138">
        <f>'BẢNG CHẤM CÔNG T3'!K11</f>
        <v>0</v>
      </c>
      <c r="U11" s="138">
        <f>'BẢNG CHẤM CÔNG T3'!L11</f>
        <v>1</v>
      </c>
      <c r="V11" s="138">
        <f>'BẢNG CHẤM CÔNG T3'!M11</f>
        <v>0</v>
      </c>
      <c r="W11" s="139">
        <f t="shared" si="3"/>
        <v>2824038.4615384615</v>
      </c>
      <c r="X11" s="139">
        <f t="shared" si="4"/>
        <v>1042968.75</v>
      </c>
      <c r="Y11" s="139">
        <f t="shared" si="5"/>
        <v>0</v>
      </c>
      <c r="Z11" s="139">
        <f t="shared" si="6"/>
        <v>0</v>
      </c>
      <c r="AA11" s="139">
        <f t="shared" si="7"/>
        <v>317307.69230769231</v>
      </c>
      <c r="AB11" s="139">
        <f t="shared" si="8"/>
        <v>158653.84615384616</v>
      </c>
      <c r="AC11" s="139">
        <f t="shared" si="9"/>
        <v>0</v>
      </c>
      <c r="AD11" s="139">
        <f t="shared" si="10"/>
        <v>0</v>
      </c>
      <c r="AE11" s="139">
        <f t="shared" ref="AE11:AE44" si="13">K11/D11*M11</f>
        <v>190384.6153846154</v>
      </c>
      <c r="AF11" s="139">
        <f t="shared" ref="AF11:AF73" si="14">L11/D11*M11</f>
        <v>317307.69230769231</v>
      </c>
      <c r="AG11" s="139">
        <f t="shared" si="11"/>
        <v>4850661.057692307</v>
      </c>
      <c r="AH11" s="139"/>
      <c r="AI11" s="139">
        <f t="shared" si="12"/>
        <v>0</v>
      </c>
      <c r="AJ11" s="139"/>
      <c r="AK11" s="139">
        <v>300000</v>
      </c>
      <c r="AL11" s="139"/>
      <c r="AM11" s="139">
        <f t="shared" si="0"/>
        <v>300000</v>
      </c>
      <c r="AN11" s="180">
        <f t="shared" si="1"/>
        <v>4550661.057692307</v>
      </c>
    </row>
    <row r="12" spans="1:40" x14ac:dyDescent="0.25">
      <c r="A12" s="59">
        <v>4</v>
      </c>
      <c r="B12" s="72" t="s">
        <v>40</v>
      </c>
      <c r="C12" s="73" t="s">
        <v>41</v>
      </c>
      <c r="D12" s="72">
        <v>26</v>
      </c>
      <c r="E12" s="131">
        <f t="shared" si="2"/>
        <v>7500000</v>
      </c>
      <c r="F12" s="126">
        <v>4450000</v>
      </c>
      <c r="G12" s="126">
        <v>500000</v>
      </c>
      <c r="H12" s="126">
        <v>250000</v>
      </c>
      <c r="I12" s="126">
        <v>300000</v>
      </c>
      <c r="J12" s="126"/>
      <c r="K12" s="126">
        <v>500000</v>
      </c>
      <c r="L12" s="126">
        <v>1500000</v>
      </c>
      <c r="M12" s="127">
        <f>'BẢNG CHẤM CÔNG T3'!D12</f>
        <v>26</v>
      </c>
      <c r="N12" s="127">
        <f>'BẢNG CHẤM CÔNG T3'!E12</f>
        <v>89.7</v>
      </c>
      <c r="O12" s="127">
        <f>'BẢNG CHẤM CÔNG T3'!F12</f>
        <v>2.8</v>
      </c>
      <c r="P12" s="127">
        <f>'BẢNG CHẤM CÔNG T3'!G12</f>
        <v>0.5</v>
      </c>
      <c r="Q12" s="127">
        <f>'BẢNG CHẤM CÔNG T3'!H12</f>
        <v>36.200000000000003</v>
      </c>
      <c r="R12" s="127">
        <f>'BẢNG CHẤM CÔNG T3'!I12</f>
        <v>0</v>
      </c>
      <c r="S12" s="127">
        <f>'BẢNG CHẤM CÔNG T3'!J12</f>
        <v>0</v>
      </c>
      <c r="T12" s="127">
        <f>'BẢNG CHẤM CÔNG T3'!K12</f>
        <v>0</v>
      </c>
      <c r="U12" s="127">
        <f>'BẢNG CHẤM CÔNG T3'!L12</f>
        <v>0</v>
      </c>
      <c r="V12" s="127">
        <f>'BẢNG CHẤM CÔNG T3'!M12</f>
        <v>0</v>
      </c>
      <c r="W12" s="132">
        <f>F12/D12*M12</f>
        <v>4450000</v>
      </c>
      <c r="X12" s="132">
        <f>F12/D12/8*N12*1.5</f>
        <v>2878593.75</v>
      </c>
      <c r="Y12" s="132">
        <f t="shared" si="5"/>
        <v>107826.92307692306</v>
      </c>
      <c r="Z12" s="132">
        <f t="shared" si="6"/>
        <v>1548942.3076923077</v>
      </c>
      <c r="AA12" s="132">
        <f t="shared" si="7"/>
        <v>500000</v>
      </c>
      <c r="AB12" s="132">
        <f t="shared" si="8"/>
        <v>250000</v>
      </c>
      <c r="AC12" s="132">
        <f t="shared" si="9"/>
        <v>300000</v>
      </c>
      <c r="AD12" s="132">
        <f t="shared" si="10"/>
        <v>0</v>
      </c>
      <c r="AE12" s="132">
        <f t="shared" si="13"/>
        <v>500000</v>
      </c>
      <c r="AF12" s="132">
        <f t="shared" si="14"/>
        <v>1500000</v>
      </c>
      <c r="AG12" s="197">
        <f>SUM(W12:AF12)</f>
        <v>12035362.98076923</v>
      </c>
      <c r="AH12" s="132"/>
      <c r="AI12" s="132">
        <f t="shared" si="12"/>
        <v>10697.115384615385</v>
      </c>
      <c r="AJ12" s="132"/>
      <c r="AK12" s="132"/>
      <c r="AL12" s="132"/>
      <c r="AM12" s="132">
        <f t="shared" si="0"/>
        <v>10697.115384615385</v>
      </c>
      <c r="AN12" s="180">
        <f t="shared" si="1"/>
        <v>12024665.865384614</v>
      </c>
    </row>
    <row r="13" spans="1:40" hidden="1" x14ac:dyDescent="0.25">
      <c r="A13" s="59">
        <v>5</v>
      </c>
      <c r="B13" s="72" t="s">
        <v>42</v>
      </c>
      <c r="C13" s="73" t="s">
        <v>43</v>
      </c>
      <c r="D13" s="72">
        <v>26</v>
      </c>
      <c r="E13" s="131">
        <f t="shared" si="2"/>
        <v>6500000</v>
      </c>
      <c r="F13" s="126">
        <v>4450000</v>
      </c>
      <c r="G13" s="126">
        <v>500000</v>
      </c>
      <c r="H13" s="126">
        <v>250000</v>
      </c>
      <c r="I13" s="126">
        <v>300000</v>
      </c>
      <c r="J13" s="126"/>
      <c r="K13" s="126">
        <v>500000</v>
      </c>
      <c r="L13" s="126">
        <v>500000</v>
      </c>
      <c r="M13" s="127">
        <f>'BẢNG CHẤM CÔNG T3'!D13</f>
        <v>26</v>
      </c>
      <c r="N13" s="127">
        <f>'BẢNG CHẤM CÔNG T3'!E13</f>
        <v>66.7</v>
      </c>
      <c r="O13" s="127">
        <f>'BẢNG CHẤM CÔNG T3'!F13</f>
        <v>0.5</v>
      </c>
      <c r="P13" s="127">
        <f>'BẢNG CHẤM CÔNG T3'!G13</f>
        <v>0</v>
      </c>
      <c r="Q13" s="127">
        <f>'BẢNG CHẤM CÔNG T3'!H13</f>
        <v>0</v>
      </c>
      <c r="R13" s="127">
        <f>'BẢNG CHẤM CÔNG T3'!I13</f>
        <v>0</v>
      </c>
      <c r="S13" s="127">
        <f>'BẢNG CHẤM CÔNG T3'!J13</f>
        <v>0</v>
      </c>
      <c r="T13" s="127">
        <f>'BẢNG CHẤM CÔNG T3'!K13</f>
        <v>0</v>
      </c>
      <c r="U13" s="127">
        <f>'BẢNG CHẤM CÔNG T3'!L13</f>
        <v>0</v>
      </c>
      <c r="V13" s="127">
        <f>'BẢNG CHẤM CÔNG T3'!M13</f>
        <v>0</v>
      </c>
      <c r="W13" s="132">
        <f t="shared" si="3"/>
        <v>4450000</v>
      </c>
      <c r="X13" s="132">
        <f t="shared" si="4"/>
        <v>2140492.788461539</v>
      </c>
      <c r="Y13" s="132">
        <f t="shared" si="5"/>
        <v>19254.807692307691</v>
      </c>
      <c r="Z13" s="132">
        <f t="shared" si="6"/>
        <v>0</v>
      </c>
      <c r="AA13" s="132">
        <f t="shared" si="7"/>
        <v>500000</v>
      </c>
      <c r="AB13" s="132">
        <f t="shared" si="8"/>
        <v>250000</v>
      </c>
      <c r="AC13" s="132">
        <f t="shared" si="9"/>
        <v>300000</v>
      </c>
      <c r="AD13" s="132">
        <f t="shared" si="10"/>
        <v>0</v>
      </c>
      <c r="AE13" s="132">
        <f t="shared" si="13"/>
        <v>500000</v>
      </c>
      <c r="AF13" s="132">
        <f t="shared" si="14"/>
        <v>500000</v>
      </c>
      <c r="AG13" s="132">
        <f t="shared" si="11"/>
        <v>8659747.5961538479</v>
      </c>
      <c r="AH13" s="132">
        <v>1123978.3653846155</v>
      </c>
      <c r="AI13" s="132">
        <f t="shared" si="12"/>
        <v>0</v>
      </c>
      <c r="AJ13" s="132"/>
      <c r="AK13" s="132"/>
      <c r="AL13" s="132"/>
      <c r="AM13" s="132">
        <f t="shared" si="0"/>
        <v>0</v>
      </c>
      <c r="AN13" s="180">
        <f>AG13-AM13+AH13</f>
        <v>9783725.9615384638</v>
      </c>
    </row>
    <row r="14" spans="1:40" hidden="1" x14ac:dyDescent="0.25">
      <c r="A14" s="59">
        <v>6</v>
      </c>
      <c r="B14" s="72" t="s">
        <v>44</v>
      </c>
      <c r="C14" s="73" t="s">
        <v>45</v>
      </c>
      <c r="D14" s="72">
        <v>26</v>
      </c>
      <c r="E14" s="131">
        <f t="shared" si="2"/>
        <v>6000000</v>
      </c>
      <c r="F14" s="126">
        <v>4450000</v>
      </c>
      <c r="G14" s="126">
        <v>500000</v>
      </c>
      <c r="H14" s="126">
        <v>250000</v>
      </c>
      <c r="I14" s="126"/>
      <c r="J14" s="126"/>
      <c r="K14" s="126">
        <v>300000</v>
      </c>
      <c r="L14" s="126">
        <v>500000</v>
      </c>
      <c r="M14" s="127">
        <f>'BẢNG CHẤM CÔNG T3'!D14</f>
        <v>25.5</v>
      </c>
      <c r="N14" s="127">
        <f>'BẢNG CHẤM CÔNG T3'!E14</f>
        <v>83.5</v>
      </c>
      <c r="O14" s="127">
        <f>'BẢNG CHẤM CÔNG T3'!F14</f>
        <v>0</v>
      </c>
      <c r="P14" s="127">
        <f>'BẢNG CHẤM CÔNG T3'!G14</f>
        <v>0</v>
      </c>
      <c r="Q14" s="127">
        <f>'BẢNG CHẤM CÔNG T3'!H14</f>
        <v>40.5</v>
      </c>
      <c r="R14" s="127">
        <f>'BẢNG CHẤM CÔNG T3'!I14</f>
        <v>0</v>
      </c>
      <c r="S14" s="127">
        <f>'BẢNG CHẤM CÔNG T3'!J14</f>
        <v>0</v>
      </c>
      <c r="T14" s="127">
        <f>'BẢNG CHẤM CÔNG T3'!K14</f>
        <v>0</v>
      </c>
      <c r="U14" s="127">
        <f>'BẢNG CHẤM CÔNG T3'!L14</f>
        <v>0</v>
      </c>
      <c r="V14" s="127">
        <f>'BẢNG CHẤM CÔNG T3'!M14</f>
        <v>0</v>
      </c>
      <c r="W14" s="132">
        <f t="shared" si="3"/>
        <v>4364423.076923077</v>
      </c>
      <c r="X14" s="132">
        <f t="shared" si="4"/>
        <v>2679627.403846154</v>
      </c>
      <c r="Y14" s="132">
        <f t="shared" si="5"/>
        <v>0</v>
      </c>
      <c r="Z14" s="132">
        <f t="shared" si="6"/>
        <v>1732932.6923076923</v>
      </c>
      <c r="AA14" s="132">
        <f t="shared" si="7"/>
        <v>490384.61538461538</v>
      </c>
      <c r="AB14" s="132">
        <f t="shared" si="8"/>
        <v>245192.30769230769</v>
      </c>
      <c r="AC14" s="132">
        <f t="shared" si="9"/>
        <v>0</v>
      </c>
      <c r="AD14" s="132">
        <f t="shared" si="10"/>
        <v>0</v>
      </c>
      <c r="AE14" s="132">
        <f t="shared" si="13"/>
        <v>294230.76923076925</v>
      </c>
      <c r="AF14" s="132">
        <f t="shared" si="14"/>
        <v>490384.61538461538</v>
      </c>
      <c r="AG14" s="132">
        <f t="shared" si="11"/>
        <v>10297175.480769234</v>
      </c>
      <c r="AH14" s="132"/>
      <c r="AI14" s="132">
        <f t="shared" si="12"/>
        <v>0</v>
      </c>
      <c r="AJ14" s="132"/>
      <c r="AK14" s="132"/>
      <c r="AL14" s="132"/>
      <c r="AM14" s="132">
        <f t="shared" si="0"/>
        <v>0</v>
      </c>
      <c r="AN14" s="180">
        <f t="shared" si="1"/>
        <v>10297175.480769234</v>
      </c>
    </row>
    <row r="15" spans="1:40" hidden="1" x14ac:dyDescent="0.25">
      <c r="A15" s="59">
        <v>7</v>
      </c>
      <c r="B15" s="72" t="s">
        <v>46</v>
      </c>
      <c r="C15" s="73" t="s">
        <v>465</v>
      </c>
      <c r="D15" s="72">
        <v>26</v>
      </c>
      <c r="E15" s="131">
        <f t="shared" si="2"/>
        <v>6000000</v>
      </c>
      <c r="F15" s="126">
        <v>4450000</v>
      </c>
      <c r="G15" s="126">
        <v>500000</v>
      </c>
      <c r="H15" s="126">
        <v>250000</v>
      </c>
      <c r="I15" s="126"/>
      <c r="J15" s="126"/>
      <c r="K15" s="126">
        <v>300000</v>
      </c>
      <c r="L15" s="126">
        <v>500000</v>
      </c>
      <c r="M15" s="127">
        <f>'BẢNG CHẤM CÔNG T3'!D15</f>
        <v>25.5</v>
      </c>
      <c r="N15" s="127">
        <f>'BẢNG CHẤM CÔNG T3'!E15</f>
        <v>81.5</v>
      </c>
      <c r="O15" s="127">
        <f>'BẢNG CHẤM CÔNG T3'!F15</f>
        <v>0</v>
      </c>
      <c r="P15" s="127">
        <f>'BẢNG CHẤM CÔNG T3'!G15</f>
        <v>0</v>
      </c>
      <c r="Q15" s="127">
        <f>'BẢNG CHẤM CÔNG T3'!H15</f>
        <v>40.5</v>
      </c>
      <c r="R15" s="127">
        <f>'BẢNG CHẤM CÔNG T3'!I15</f>
        <v>0</v>
      </c>
      <c r="S15" s="127">
        <f>'BẢNG CHẤM CÔNG T3'!J15</f>
        <v>0</v>
      </c>
      <c r="T15" s="127">
        <f>'BẢNG CHẤM CÔNG T3'!K15</f>
        <v>0</v>
      </c>
      <c r="U15" s="127">
        <f>'BẢNG CHẤM CÔNG T3'!L15</f>
        <v>0</v>
      </c>
      <c r="V15" s="127">
        <f>'BẢNG CHẤM CÔNG T3'!M15</f>
        <v>0</v>
      </c>
      <c r="W15" s="132">
        <f t="shared" si="3"/>
        <v>4364423.076923077</v>
      </c>
      <c r="X15" s="132">
        <f t="shared" si="4"/>
        <v>2615444.7115384615</v>
      </c>
      <c r="Y15" s="132">
        <f t="shared" si="5"/>
        <v>0</v>
      </c>
      <c r="Z15" s="132">
        <f t="shared" si="6"/>
        <v>1732932.6923076923</v>
      </c>
      <c r="AA15" s="132">
        <f t="shared" si="7"/>
        <v>490384.61538461538</v>
      </c>
      <c r="AB15" s="132">
        <f t="shared" si="8"/>
        <v>245192.30769230769</v>
      </c>
      <c r="AC15" s="132">
        <f t="shared" si="9"/>
        <v>0</v>
      </c>
      <c r="AD15" s="132">
        <f t="shared" si="10"/>
        <v>0</v>
      </c>
      <c r="AE15" s="132">
        <f t="shared" si="13"/>
        <v>294230.76923076925</v>
      </c>
      <c r="AF15" s="132">
        <f t="shared" si="14"/>
        <v>490384.61538461538</v>
      </c>
      <c r="AG15" s="132">
        <f t="shared" si="11"/>
        <v>10232992.78846154</v>
      </c>
      <c r="AH15" s="132"/>
      <c r="AI15" s="132">
        <f t="shared" si="12"/>
        <v>0</v>
      </c>
      <c r="AJ15" s="132"/>
      <c r="AK15" s="132"/>
      <c r="AL15" s="132"/>
      <c r="AM15" s="132">
        <f t="shared" si="0"/>
        <v>0</v>
      </c>
      <c r="AN15" s="180">
        <f t="shared" si="1"/>
        <v>10232992.78846154</v>
      </c>
    </row>
    <row r="16" spans="1:40" hidden="1" x14ac:dyDescent="0.25">
      <c r="A16" s="59">
        <v>8</v>
      </c>
      <c r="B16" s="72" t="s">
        <v>48</v>
      </c>
      <c r="C16" s="73" t="s">
        <v>49</v>
      </c>
      <c r="D16" s="72">
        <v>26</v>
      </c>
      <c r="E16" s="131">
        <f t="shared" si="2"/>
        <v>6000000</v>
      </c>
      <c r="F16" s="126">
        <v>4450000</v>
      </c>
      <c r="G16" s="126">
        <v>500000</v>
      </c>
      <c r="H16" s="126">
        <v>250000</v>
      </c>
      <c r="I16" s="126"/>
      <c r="J16" s="126"/>
      <c r="K16" s="126">
        <v>300000</v>
      </c>
      <c r="L16" s="126">
        <v>500000</v>
      </c>
      <c r="M16" s="127">
        <f>'BẢNG CHẤM CÔNG T3'!D16</f>
        <v>24</v>
      </c>
      <c r="N16" s="127">
        <f>'BẢNG CHẤM CÔNG T3'!E16</f>
        <v>23.5</v>
      </c>
      <c r="O16" s="127">
        <f>'BẢNG CHẤM CÔNG T3'!F16</f>
        <v>0</v>
      </c>
      <c r="P16" s="127">
        <f>'BẢNG CHẤM CÔNG T3'!G16</f>
        <v>0</v>
      </c>
      <c r="Q16" s="127">
        <f>'BẢNG CHẤM CÔNG T3'!H16</f>
        <v>13.5</v>
      </c>
      <c r="R16" s="127">
        <f>'BẢNG CHẤM CÔNG T3'!I16</f>
        <v>0</v>
      </c>
      <c r="S16" s="127">
        <f>'BẢNG CHẤM CÔNG T3'!J16</f>
        <v>2</v>
      </c>
      <c r="T16" s="127">
        <f>'BẢNG CHẤM CÔNG T3'!K16</f>
        <v>0</v>
      </c>
      <c r="U16" s="127">
        <f>'BẢNG CHẤM CÔNG T3'!L16</f>
        <v>0</v>
      </c>
      <c r="V16" s="127">
        <f>'BẢNG CHẤM CÔNG T3'!M16</f>
        <v>0</v>
      </c>
      <c r="W16" s="132">
        <f t="shared" si="3"/>
        <v>4107692.307692308</v>
      </c>
      <c r="X16" s="132">
        <f t="shared" si="4"/>
        <v>754146.63461538462</v>
      </c>
      <c r="Y16" s="132">
        <f t="shared" si="5"/>
        <v>0</v>
      </c>
      <c r="Z16" s="132">
        <f t="shared" si="6"/>
        <v>577644.23076923075</v>
      </c>
      <c r="AA16" s="132">
        <f t="shared" si="7"/>
        <v>461538.4615384615</v>
      </c>
      <c r="AB16" s="132">
        <f t="shared" si="8"/>
        <v>230769.23076923075</v>
      </c>
      <c r="AC16" s="132">
        <f t="shared" si="9"/>
        <v>0</v>
      </c>
      <c r="AD16" s="132">
        <f t="shared" si="10"/>
        <v>0</v>
      </c>
      <c r="AE16" s="132">
        <f t="shared" si="13"/>
        <v>276923.07692307694</v>
      </c>
      <c r="AF16" s="132">
        <f t="shared" si="14"/>
        <v>461538.4615384615</v>
      </c>
      <c r="AG16" s="132">
        <f t="shared" si="11"/>
        <v>6870252.4038461559</v>
      </c>
      <c r="AH16" s="132"/>
      <c r="AI16" s="132">
        <f t="shared" si="12"/>
        <v>0</v>
      </c>
      <c r="AJ16" s="132"/>
      <c r="AK16" s="132"/>
      <c r="AL16" s="132"/>
      <c r="AM16" s="132">
        <f t="shared" si="0"/>
        <v>0</v>
      </c>
      <c r="AN16" s="180">
        <f t="shared" si="1"/>
        <v>6870252.4038461559</v>
      </c>
    </row>
    <row r="17" spans="1:42" hidden="1" x14ac:dyDescent="0.25">
      <c r="A17" s="59">
        <v>9</v>
      </c>
      <c r="B17" s="72" t="s">
        <v>50</v>
      </c>
      <c r="C17" s="73" t="s">
        <v>51</v>
      </c>
      <c r="D17" s="72">
        <v>26</v>
      </c>
      <c r="E17" s="131">
        <f t="shared" si="2"/>
        <v>6000000</v>
      </c>
      <c r="F17" s="126">
        <v>4450000</v>
      </c>
      <c r="G17" s="126">
        <v>500000</v>
      </c>
      <c r="H17" s="126">
        <v>250000</v>
      </c>
      <c r="I17" s="126"/>
      <c r="J17" s="126"/>
      <c r="K17" s="126">
        <v>300000</v>
      </c>
      <c r="L17" s="126">
        <v>500000</v>
      </c>
      <c r="M17" s="127">
        <f>'BẢNG CHẤM CÔNG T3'!D17</f>
        <v>26</v>
      </c>
      <c r="N17" s="127">
        <f>'BẢNG CHẤM CÔNG T3'!E17</f>
        <v>52</v>
      </c>
      <c r="O17" s="127">
        <f>'BẢNG CHẤM CÔNG T3'!F17</f>
        <v>1.5</v>
      </c>
      <c r="P17" s="127">
        <f>'BẢNG CHẤM CÔNG T3'!G17</f>
        <v>0</v>
      </c>
      <c r="Q17" s="127">
        <f>'BẢNG CHẤM CÔNG T3'!H17</f>
        <v>0</v>
      </c>
      <c r="R17" s="127">
        <f>'BẢNG CHẤM CÔNG T3'!I17</f>
        <v>0</v>
      </c>
      <c r="S17" s="127">
        <f>'BẢNG CHẤM CÔNG T3'!J17</f>
        <v>0</v>
      </c>
      <c r="T17" s="127">
        <f>'BẢNG CHẤM CÔNG T3'!K17</f>
        <v>0</v>
      </c>
      <c r="U17" s="127">
        <f>'BẢNG CHẤM CÔNG T3'!L17</f>
        <v>0</v>
      </c>
      <c r="V17" s="127">
        <f>'BẢNG CHẤM CÔNG T3'!M17</f>
        <v>0</v>
      </c>
      <c r="W17" s="132">
        <f t="shared" si="3"/>
        <v>4450000</v>
      </c>
      <c r="X17" s="132">
        <f t="shared" si="4"/>
        <v>1668750</v>
      </c>
      <c r="Y17" s="132">
        <f t="shared" si="5"/>
        <v>57764.423076923085</v>
      </c>
      <c r="Z17" s="132">
        <f t="shared" si="6"/>
        <v>0</v>
      </c>
      <c r="AA17" s="132">
        <f t="shared" si="7"/>
        <v>500000</v>
      </c>
      <c r="AB17" s="132">
        <f t="shared" si="8"/>
        <v>250000</v>
      </c>
      <c r="AC17" s="132">
        <f t="shared" si="9"/>
        <v>0</v>
      </c>
      <c r="AD17" s="132">
        <f t="shared" si="10"/>
        <v>0</v>
      </c>
      <c r="AE17" s="132">
        <f t="shared" si="13"/>
        <v>300000</v>
      </c>
      <c r="AF17" s="132">
        <f t="shared" si="14"/>
        <v>500000</v>
      </c>
      <c r="AG17" s="132">
        <f t="shared" si="11"/>
        <v>7726514.423076923</v>
      </c>
      <c r="AH17" s="132"/>
      <c r="AI17" s="132">
        <f t="shared" si="12"/>
        <v>0</v>
      </c>
      <c r="AJ17" s="132"/>
      <c r="AK17" s="132"/>
      <c r="AL17" s="132"/>
      <c r="AM17" s="132">
        <f t="shared" si="0"/>
        <v>0</v>
      </c>
      <c r="AN17" s="180">
        <f t="shared" si="1"/>
        <v>7726514.423076923</v>
      </c>
    </row>
    <row r="18" spans="1:42" hidden="1" x14ac:dyDescent="0.25">
      <c r="A18" s="59">
        <v>10</v>
      </c>
      <c r="B18" s="72" t="s">
        <v>52</v>
      </c>
      <c r="C18" s="73" t="s">
        <v>53</v>
      </c>
      <c r="D18" s="72">
        <v>26</v>
      </c>
      <c r="E18" s="131">
        <f t="shared" si="2"/>
        <v>6000000</v>
      </c>
      <c r="F18" s="126">
        <v>4450000</v>
      </c>
      <c r="G18" s="126">
        <v>500000</v>
      </c>
      <c r="H18" s="126">
        <v>250000</v>
      </c>
      <c r="I18" s="126"/>
      <c r="J18" s="126"/>
      <c r="K18" s="126">
        <v>300000</v>
      </c>
      <c r="L18" s="126">
        <v>500000</v>
      </c>
      <c r="M18" s="127">
        <f>'BẢNG CHẤM CÔNG T3'!D18</f>
        <v>26</v>
      </c>
      <c r="N18" s="127">
        <f>'BẢNG CHẤM CÔNG T3'!E18</f>
        <v>82</v>
      </c>
      <c r="O18" s="127">
        <f>'BẢNG CHẤM CÔNG T3'!F18</f>
        <v>1.5</v>
      </c>
      <c r="P18" s="127">
        <f>'BẢNG CHẤM CÔNG T3'!G18</f>
        <v>1</v>
      </c>
      <c r="Q18" s="127">
        <f>'BẢNG CHẤM CÔNG T3'!H18</f>
        <v>23.5</v>
      </c>
      <c r="R18" s="127">
        <f>'BẢNG CHẤM CÔNG T3'!I18</f>
        <v>0</v>
      </c>
      <c r="S18" s="127">
        <f>'BẢNG CHẤM CÔNG T3'!J18</f>
        <v>0</v>
      </c>
      <c r="T18" s="127">
        <f>'BẢNG CHẤM CÔNG T3'!K18</f>
        <v>0</v>
      </c>
      <c r="U18" s="127">
        <f>'BẢNG CHẤM CÔNG T3'!L18</f>
        <v>0</v>
      </c>
      <c r="V18" s="127">
        <f>'BẢNG CHẤM CÔNG T3'!M18</f>
        <v>0</v>
      </c>
      <c r="W18" s="132">
        <f t="shared" si="3"/>
        <v>4450000</v>
      </c>
      <c r="X18" s="132">
        <f t="shared" si="4"/>
        <v>2631490.3846153845</v>
      </c>
      <c r="Y18" s="132">
        <f t="shared" si="5"/>
        <v>57764.423076923085</v>
      </c>
      <c r="Z18" s="132">
        <f t="shared" si="6"/>
        <v>1005528.8461538461</v>
      </c>
      <c r="AA18" s="132">
        <f t="shared" si="7"/>
        <v>500000</v>
      </c>
      <c r="AB18" s="132">
        <f t="shared" si="8"/>
        <v>250000</v>
      </c>
      <c r="AC18" s="132">
        <f t="shared" si="9"/>
        <v>0</v>
      </c>
      <c r="AD18" s="132">
        <f t="shared" si="10"/>
        <v>0</v>
      </c>
      <c r="AE18" s="132">
        <f t="shared" si="13"/>
        <v>300000</v>
      </c>
      <c r="AF18" s="132">
        <f t="shared" si="14"/>
        <v>500000</v>
      </c>
      <c r="AG18" s="132">
        <f t="shared" si="11"/>
        <v>9694783.6538461521</v>
      </c>
      <c r="AH18" s="132"/>
      <c r="AI18" s="132">
        <f t="shared" si="12"/>
        <v>21394.23076923077</v>
      </c>
      <c r="AJ18" s="132"/>
      <c r="AK18" s="132"/>
      <c r="AL18" s="132"/>
      <c r="AM18" s="132">
        <f t="shared" si="0"/>
        <v>21394.23076923077</v>
      </c>
      <c r="AN18" s="180">
        <f t="shared" si="1"/>
        <v>9673389.4230769221</v>
      </c>
    </row>
    <row r="19" spans="1:42" hidden="1" x14ac:dyDescent="0.25">
      <c r="A19" s="59">
        <v>11</v>
      </c>
      <c r="B19" s="72" t="s">
        <v>54</v>
      </c>
      <c r="C19" s="73" t="s">
        <v>55</v>
      </c>
      <c r="D19" s="72">
        <v>26</v>
      </c>
      <c r="E19" s="131">
        <f t="shared" si="2"/>
        <v>6000000</v>
      </c>
      <c r="F19" s="126">
        <v>4450000</v>
      </c>
      <c r="G19" s="126">
        <v>500000</v>
      </c>
      <c r="H19" s="126">
        <v>250000</v>
      </c>
      <c r="I19" s="126"/>
      <c r="J19" s="126"/>
      <c r="K19" s="126">
        <v>300000</v>
      </c>
      <c r="L19" s="126">
        <v>500000</v>
      </c>
      <c r="M19" s="127">
        <f>'BẢNG CHẤM CÔNG T3'!D19</f>
        <v>26</v>
      </c>
      <c r="N19" s="127">
        <f>'BẢNG CHẤM CÔNG T3'!E19</f>
        <v>85.5</v>
      </c>
      <c r="O19" s="127">
        <f>'BẢNG CHẤM CÔNG T3'!F19</f>
        <v>1.5</v>
      </c>
      <c r="P19" s="127">
        <f>'BẢNG CHẤM CÔNG T3'!G19</f>
        <v>0</v>
      </c>
      <c r="Q19" s="127">
        <f>'BẢNG CHẤM CÔNG T3'!H19</f>
        <v>23.5</v>
      </c>
      <c r="R19" s="127">
        <f>'BẢNG CHẤM CÔNG T3'!I19</f>
        <v>0</v>
      </c>
      <c r="S19" s="127">
        <f>'BẢNG CHẤM CÔNG T3'!J19</f>
        <v>0</v>
      </c>
      <c r="T19" s="127">
        <f>'BẢNG CHẤM CÔNG T3'!K19</f>
        <v>0</v>
      </c>
      <c r="U19" s="127">
        <f>'BẢNG CHẤM CÔNG T3'!L19</f>
        <v>0</v>
      </c>
      <c r="V19" s="127">
        <f>'BẢNG CHẤM CÔNG T3'!M19</f>
        <v>0</v>
      </c>
      <c r="W19" s="132">
        <f t="shared" si="3"/>
        <v>4450000</v>
      </c>
      <c r="X19" s="132">
        <f t="shared" si="4"/>
        <v>2743810.096153846</v>
      </c>
      <c r="Y19" s="132">
        <f t="shared" si="5"/>
        <v>57764.423076923085</v>
      </c>
      <c r="Z19" s="132">
        <f t="shared" si="6"/>
        <v>1005528.8461538461</v>
      </c>
      <c r="AA19" s="132">
        <f t="shared" si="7"/>
        <v>500000</v>
      </c>
      <c r="AB19" s="132">
        <f t="shared" si="8"/>
        <v>250000</v>
      </c>
      <c r="AC19" s="132">
        <f t="shared" si="9"/>
        <v>0</v>
      </c>
      <c r="AD19" s="132">
        <f t="shared" si="10"/>
        <v>0</v>
      </c>
      <c r="AE19" s="132">
        <f t="shared" si="13"/>
        <v>300000</v>
      </c>
      <c r="AF19" s="132">
        <f t="shared" si="14"/>
        <v>500000</v>
      </c>
      <c r="AG19" s="132">
        <f t="shared" si="11"/>
        <v>9807103.365384616</v>
      </c>
      <c r="AH19" s="132"/>
      <c r="AI19" s="132">
        <f t="shared" si="12"/>
        <v>0</v>
      </c>
      <c r="AJ19" s="132"/>
      <c r="AK19" s="132"/>
      <c r="AL19" s="132"/>
      <c r="AM19" s="132">
        <f t="shared" si="0"/>
        <v>0</v>
      </c>
      <c r="AN19" s="180">
        <f t="shared" si="1"/>
        <v>9807103.365384616</v>
      </c>
    </row>
    <row r="20" spans="1:42" hidden="1" x14ac:dyDescent="0.25">
      <c r="A20" s="59">
        <v>12</v>
      </c>
      <c r="B20" s="72" t="s">
        <v>56</v>
      </c>
      <c r="C20" s="73" t="s">
        <v>57</v>
      </c>
      <c r="D20" s="72">
        <v>26</v>
      </c>
      <c r="E20" s="131">
        <f t="shared" si="2"/>
        <v>6000000</v>
      </c>
      <c r="F20" s="126">
        <v>4450000</v>
      </c>
      <c r="G20" s="126">
        <v>500000</v>
      </c>
      <c r="H20" s="126">
        <v>250000</v>
      </c>
      <c r="I20" s="126"/>
      <c r="J20" s="126"/>
      <c r="K20" s="126">
        <v>300000</v>
      </c>
      <c r="L20" s="126">
        <v>500000</v>
      </c>
      <c r="M20" s="127">
        <f>'BẢNG CHẤM CÔNG T3'!D20</f>
        <v>24</v>
      </c>
      <c r="N20" s="127">
        <f>'BẢNG CHẤM CÔNG T3'!E20</f>
        <v>23</v>
      </c>
      <c r="O20" s="127">
        <f>'BẢNG CHẤM CÔNG T3'!F20</f>
        <v>0</v>
      </c>
      <c r="P20" s="127">
        <f>'BẢNG CHẤM CÔNG T3'!G20</f>
        <v>0</v>
      </c>
      <c r="Q20" s="127">
        <f>'BẢNG CHẤM CÔNG T3'!H20</f>
        <v>8</v>
      </c>
      <c r="R20" s="127">
        <f>'BẢNG CHẤM CÔNG T3'!I20</f>
        <v>0</v>
      </c>
      <c r="S20" s="127">
        <f>'BẢNG CHẤM CÔNG T3'!J20</f>
        <v>2</v>
      </c>
      <c r="T20" s="127">
        <f>'BẢNG CHẤM CÔNG T3'!K20</f>
        <v>0</v>
      </c>
      <c r="U20" s="127">
        <f>'BẢNG CHẤM CÔNG T3'!L20</f>
        <v>0</v>
      </c>
      <c r="V20" s="127">
        <f>'BẢNG CHẤM CÔNG T3'!M20</f>
        <v>0</v>
      </c>
      <c r="W20" s="132">
        <f t="shared" si="3"/>
        <v>4107692.307692308</v>
      </c>
      <c r="X20" s="132">
        <f t="shared" si="4"/>
        <v>738100.9615384615</v>
      </c>
      <c r="Y20" s="132">
        <f t="shared" si="5"/>
        <v>0</v>
      </c>
      <c r="Z20" s="132">
        <f t="shared" si="6"/>
        <v>342307.69230769231</v>
      </c>
      <c r="AA20" s="132">
        <f t="shared" si="7"/>
        <v>461538.4615384615</v>
      </c>
      <c r="AB20" s="132">
        <f t="shared" si="8"/>
        <v>230769.23076923075</v>
      </c>
      <c r="AC20" s="132">
        <f t="shared" si="9"/>
        <v>0</v>
      </c>
      <c r="AD20" s="132">
        <f t="shared" si="10"/>
        <v>0</v>
      </c>
      <c r="AE20" s="132">
        <f t="shared" si="13"/>
        <v>276923.07692307694</v>
      </c>
      <c r="AF20" s="132">
        <f t="shared" si="14"/>
        <v>461538.4615384615</v>
      </c>
      <c r="AG20" s="132">
        <f t="shared" si="11"/>
        <v>6618870.1923076939</v>
      </c>
      <c r="AH20" s="132">
        <v>570012.01923076925</v>
      </c>
      <c r="AI20" s="132">
        <f t="shared" si="12"/>
        <v>0</v>
      </c>
      <c r="AJ20" s="132"/>
      <c r="AK20" s="132"/>
      <c r="AL20" s="132"/>
      <c r="AM20" s="132">
        <f t="shared" si="0"/>
        <v>0</v>
      </c>
      <c r="AN20" s="180">
        <f>AG20-AM20+AH20</f>
        <v>7188882.2115384629</v>
      </c>
    </row>
    <row r="21" spans="1:42" hidden="1" x14ac:dyDescent="0.25">
      <c r="A21" s="59">
        <v>13</v>
      </c>
      <c r="B21" s="72" t="s">
        <v>58</v>
      </c>
      <c r="C21" s="73" t="s">
        <v>59</v>
      </c>
      <c r="D21" s="72">
        <v>26</v>
      </c>
      <c r="E21" s="131">
        <f t="shared" si="2"/>
        <v>6000000</v>
      </c>
      <c r="F21" s="126">
        <v>4450000</v>
      </c>
      <c r="G21" s="126">
        <v>500000</v>
      </c>
      <c r="H21" s="126">
        <v>250000</v>
      </c>
      <c r="I21" s="126"/>
      <c r="J21" s="126"/>
      <c r="K21" s="126">
        <v>300000</v>
      </c>
      <c r="L21" s="126">
        <v>500000</v>
      </c>
      <c r="M21" s="127">
        <f>'BẢNG CHẤM CÔNG T3'!D21</f>
        <v>25</v>
      </c>
      <c r="N21" s="127">
        <f>'BẢNG CHẤM CÔNG T3'!E21</f>
        <v>49.5</v>
      </c>
      <c r="O21" s="127">
        <f>'BẢNG CHẤM CÔNG T3'!F21</f>
        <v>0</v>
      </c>
      <c r="P21" s="127">
        <f>'BẢNG CHẤM CÔNG T3'!G21</f>
        <v>0</v>
      </c>
      <c r="Q21" s="127">
        <f>'BẢNG CHẤM CÔNG T3'!H21</f>
        <v>14</v>
      </c>
      <c r="R21" s="127">
        <f>'BẢNG CHẤM CÔNG T3'!I21</f>
        <v>0</v>
      </c>
      <c r="S21" s="127">
        <f>'BẢNG CHẤM CÔNG T3'!J21</f>
        <v>0</v>
      </c>
      <c r="T21" s="127">
        <f>'BẢNG CHẤM CÔNG T3'!K21</f>
        <v>0</v>
      </c>
      <c r="U21" s="127">
        <f>'BẢNG CHẤM CÔNG T3'!L21</f>
        <v>0</v>
      </c>
      <c r="V21" s="127">
        <f>'BẢNG CHẤM CÔNG T3'!M21</f>
        <v>0</v>
      </c>
      <c r="W21" s="132">
        <f t="shared" si="3"/>
        <v>4278846.153846154</v>
      </c>
      <c r="X21" s="132">
        <f t="shared" si="4"/>
        <v>1588521.6346153845</v>
      </c>
      <c r="Y21" s="132">
        <f t="shared" si="5"/>
        <v>0</v>
      </c>
      <c r="Z21" s="132">
        <f t="shared" si="6"/>
        <v>599038.4615384615</v>
      </c>
      <c r="AA21" s="132">
        <f t="shared" si="7"/>
        <v>480769.23076923075</v>
      </c>
      <c r="AB21" s="132">
        <f t="shared" si="8"/>
        <v>240384.61538461538</v>
      </c>
      <c r="AC21" s="132">
        <f t="shared" si="9"/>
        <v>0</v>
      </c>
      <c r="AD21" s="132">
        <f t="shared" si="10"/>
        <v>0</v>
      </c>
      <c r="AE21" s="132">
        <f t="shared" si="13"/>
        <v>288461.5384615385</v>
      </c>
      <c r="AF21" s="132">
        <f t="shared" si="14"/>
        <v>480769.23076923075</v>
      </c>
      <c r="AG21" s="132">
        <f t="shared" si="11"/>
        <v>7956790.865384615</v>
      </c>
      <c r="AH21" s="132"/>
      <c r="AI21" s="132">
        <f t="shared" si="12"/>
        <v>0</v>
      </c>
      <c r="AJ21" s="132"/>
      <c r="AK21" s="132"/>
      <c r="AL21" s="132"/>
      <c r="AM21" s="132">
        <f t="shared" si="0"/>
        <v>0</v>
      </c>
      <c r="AN21" s="180">
        <f t="shared" si="1"/>
        <v>7956790.865384615</v>
      </c>
    </row>
    <row r="22" spans="1:42" s="120" customFormat="1" hidden="1" x14ac:dyDescent="0.25">
      <c r="A22" s="133">
        <v>14</v>
      </c>
      <c r="B22" s="134" t="s">
        <v>60</v>
      </c>
      <c r="C22" s="135" t="s">
        <v>61</v>
      </c>
      <c r="D22" s="134">
        <v>26</v>
      </c>
      <c r="E22" s="136">
        <f t="shared" si="2"/>
        <v>5700000</v>
      </c>
      <c r="F22" s="137">
        <v>4450000</v>
      </c>
      <c r="G22" s="137">
        <v>500000</v>
      </c>
      <c r="H22" s="137">
        <v>250000</v>
      </c>
      <c r="I22" s="137"/>
      <c r="J22" s="137"/>
      <c r="K22" s="137"/>
      <c r="L22" s="137">
        <v>500000</v>
      </c>
      <c r="M22" s="138">
        <f>'BẢNG CHẤM CÔNG T3'!D22</f>
        <v>20</v>
      </c>
      <c r="N22" s="138">
        <f>'BẢNG CHẤM CÔNG T3'!E22</f>
        <v>38.5</v>
      </c>
      <c r="O22" s="138">
        <f>'BẢNG CHẤM CÔNG T3'!F22</f>
        <v>0</v>
      </c>
      <c r="P22" s="138">
        <f>'BẢNG CHẤM CÔNG T3'!G22</f>
        <v>2</v>
      </c>
      <c r="Q22" s="138">
        <f>'BẢNG CHẤM CÔNG T3'!H22</f>
        <v>8.5</v>
      </c>
      <c r="R22" s="138">
        <f>'BẢNG CHẤM CÔNG T3'!I22</f>
        <v>0</v>
      </c>
      <c r="S22" s="138">
        <f>'BẢNG CHẤM CÔNG T3'!J22</f>
        <v>3</v>
      </c>
      <c r="T22" s="138">
        <f>'BẢNG CHẤM CÔNG T3'!K22</f>
        <v>0</v>
      </c>
      <c r="U22" s="138">
        <f>'BẢNG CHẤM CÔNG T3'!L22</f>
        <v>1</v>
      </c>
      <c r="V22" s="138">
        <f>'BẢNG CHẤM CÔNG T3'!M22</f>
        <v>0</v>
      </c>
      <c r="W22" s="139">
        <f t="shared" si="3"/>
        <v>3423076.923076923</v>
      </c>
      <c r="X22" s="139">
        <f t="shared" si="4"/>
        <v>1235516.826923077</v>
      </c>
      <c r="Y22" s="139">
        <f t="shared" si="5"/>
        <v>0</v>
      </c>
      <c r="Z22" s="139">
        <f t="shared" si="6"/>
        <v>363701.92307692306</v>
      </c>
      <c r="AA22" s="139">
        <f t="shared" si="7"/>
        <v>384615.38461538462</v>
      </c>
      <c r="AB22" s="139">
        <f t="shared" si="8"/>
        <v>192307.69230769231</v>
      </c>
      <c r="AC22" s="139">
        <f t="shared" si="9"/>
        <v>0</v>
      </c>
      <c r="AD22" s="139">
        <f t="shared" si="10"/>
        <v>0</v>
      </c>
      <c r="AE22" s="139">
        <f>K22/D22*M22</f>
        <v>0</v>
      </c>
      <c r="AF22" s="139">
        <f t="shared" si="14"/>
        <v>384615.38461538462</v>
      </c>
      <c r="AG22" s="139">
        <f t="shared" si="11"/>
        <v>5983834.134615385</v>
      </c>
      <c r="AH22" s="139"/>
      <c r="AI22" s="139">
        <f t="shared" si="12"/>
        <v>42788.461538461539</v>
      </c>
      <c r="AJ22" s="139"/>
      <c r="AK22" s="139"/>
      <c r="AL22" s="139"/>
      <c r="AM22" s="139">
        <f t="shared" si="0"/>
        <v>42788.461538461539</v>
      </c>
      <c r="AN22" s="180">
        <f t="shared" si="1"/>
        <v>5941045.673076923</v>
      </c>
    </row>
    <row r="23" spans="1:42" hidden="1" x14ac:dyDescent="0.25">
      <c r="A23" s="59">
        <v>15</v>
      </c>
      <c r="B23" s="72" t="s">
        <v>62</v>
      </c>
      <c r="C23" s="73" t="s">
        <v>63</v>
      </c>
      <c r="D23" s="72">
        <v>26</v>
      </c>
      <c r="E23" s="131">
        <f t="shared" si="2"/>
        <v>7800000</v>
      </c>
      <c r="F23" s="126">
        <v>4450000</v>
      </c>
      <c r="G23" s="126">
        <v>500000</v>
      </c>
      <c r="H23" s="126">
        <v>250000</v>
      </c>
      <c r="I23" s="126">
        <v>300000</v>
      </c>
      <c r="J23" s="126"/>
      <c r="K23" s="126">
        <v>500000</v>
      </c>
      <c r="L23" s="126">
        <v>1800000</v>
      </c>
      <c r="M23" s="127">
        <f>'BẢNG CHẤM CÔNG T3'!D23</f>
        <v>26</v>
      </c>
      <c r="N23" s="127">
        <f>'BẢNG CHẤM CÔNG T3'!E23</f>
        <v>85.5</v>
      </c>
      <c r="O23" s="127">
        <f>'BẢNG CHẤM CÔNG T3'!F23</f>
        <v>2</v>
      </c>
      <c r="P23" s="127">
        <f>'BẢNG CHẤM CÔNG T3'!G23</f>
        <v>0</v>
      </c>
      <c r="Q23" s="127">
        <f>'BẢNG CHẤM CÔNG T3'!H23</f>
        <v>8.5</v>
      </c>
      <c r="R23" s="127">
        <f>'BẢNG CHẤM CÔNG T3'!I23</f>
        <v>0</v>
      </c>
      <c r="S23" s="127">
        <f>'BẢNG CHẤM CÔNG T3'!J23</f>
        <v>0</v>
      </c>
      <c r="T23" s="127">
        <f>'BẢNG CHẤM CÔNG T3'!K23</f>
        <v>0</v>
      </c>
      <c r="U23" s="127">
        <f>'BẢNG CHẤM CÔNG T3'!L23</f>
        <v>0</v>
      </c>
      <c r="V23" s="127">
        <f>'BẢNG CHẤM CÔNG T3'!M23</f>
        <v>0</v>
      </c>
      <c r="W23" s="132">
        <f t="shared" si="3"/>
        <v>4450000</v>
      </c>
      <c r="X23" s="132">
        <f t="shared" si="4"/>
        <v>2743810.096153846</v>
      </c>
      <c r="Y23" s="132">
        <f t="shared" si="5"/>
        <v>77019.230769230766</v>
      </c>
      <c r="Z23" s="132">
        <f t="shared" si="6"/>
        <v>363701.92307692306</v>
      </c>
      <c r="AA23" s="132">
        <f t="shared" si="7"/>
        <v>500000</v>
      </c>
      <c r="AB23" s="132">
        <f t="shared" si="8"/>
        <v>250000</v>
      </c>
      <c r="AC23" s="132">
        <f t="shared" si="9"/>
        <v>300000</v>
      </c>
      <c r="AD23" s="132">
        <f t="shared" si="10"/>
        <v>0</v>
      </c>
      <c r="AE23" s="132">
        <f t="shared" si="13"/>
        <v>500000</v>
      </c>
      <c r="AF23" s="132">
        <f t="shared" si="14"/>
        <v>1800000</v>
      </c>
      <c r="AG23" s="132">
        <f t="shared" si="11"/>
        <v>10984531.25</v>
      </c>
      <c r="AH23" s="132"/>
      <c r="AI23" s="132">
        <f t="shared" si="12"/>
        <v>0</v>
      </c>
      <c r="AJ23" s="132"/>
      <c r="AK23" s="132"/>
      <c r="AL23" s="132"/>
      <c r="AM23" s="132">
        <f t="shared" si="0"/>
        <v>0</v>
      </c>
      <c r="AN23" s="180">
        <f t="shared" si="1"/>
        <v>10984531.25</v>
      </c>
    </row>
    <row r="24" spans="1:42" s="120" customFormat="1" hidden="1" x14ac:dyDescent="0.25">
      <c r="A24" s="133">
        <v>16</v>
      </c>
      <c r="B24" s="134" t="s">
        <v>64</v>
      </c>
      <c r="C24" s="135" t="s">
        <v>506</v>
      </c>
      <c r="D24" s="134">
        <v>26</v>
      </c>
      <c r="E24" s="136">
        <f t="shared" si="2"/>
        <v>6000000</v>
      </c>
      <c r="F24" s="137">
        <v>4450000</v>
      </c>
      <c r="G24" s="137">
        <v>500000</v>
      </c>
      <c r="H24" s="137">
        <v>250000</v>
      </c>
      <c r="I24" s="137"/>
      <c r="J24" s="137"/>
      <c r="K24" s="137">
        <v>300000</v>
      </c>
      <c r="L24" s="137">
        <v>500000</v>
      </c>
      <c r="M24" s="138">
        <f>'BẢNG CHẤM CÔNG T3'!D24</f>
        <v>21.5</v>
      </c>
      <c r="N24" s="138">
        <f>'BẢNG CHẤM CÔNG T3'!E24</f>
        <v>62.5</v>
      </c>
      <c r="O24" s="138">
        <f>'BẢNG CHẤM CÔNG T3'!F24</f>
        <v>2</v>
      </c>
      <c r="P24" s="138">
        <f>'BẢNG CHẤM CÔNG T3'!G24</f>
        <v>0.36666666666666664</v>
      </c>
      <c r="Q24" s="138">
        <f>'BẢNG CHẤM CÔNG T3'!H24</f>
        <v>8.5</v>
      </c>
      <c r="R24" s="138">
        <f>'BẢNG CHẤM CÔNG T3'!I24</f>
        <v>0</v>
      </c>
      <c r="S24" s="138">
        <f>'BẢNG CHẤM CÔNG T3'!J24</f>
        <v>3</v>
      </c>
      <c r="T24" s="138">
        <f>'BẢNG CHẤM CÔNG T3'!K24</f>
        <v>0</v>
      </c>
      <c r="U24" s="138">
        <f>'BẢNG CHẤM CÔNG T3'!L24</f>
        <v>0</v>
      </c>
      <c r="V24" s="138">
        <f>'BẢNG CHẤM CÔNG T3'!M24</f>
        <v>0</v>
      </c>
      <c r="W24" s="139">
        <f t="shared" si="3"/>
        <v>3679807.6923076925</v>
      </c>
      <c r="X24" s="139">
        <f t="shared" si="4"/>
        <v>2005709.1346153845</v>
      </c>
      <c r="Y24" s="139">
        <f t="shared" si="5"/>
        <v>77019.230769230766</v>
      </c>
      <c r="Z24" s="139">
        <f t="shared" si="6"/>
        <v>363701.92307692306</v>
      </c>
      <c r="AA24" s="139">
        <f t="shared" si="7"/>
        <v>413461.53846153844</v>
      </c>
      <c r="AB24" s="139">
        <f t="shared" si="8"/>
        <v>206730.76923076922</v>
      </c>
      <c r="AC24" s="139">
        <f t="shared" si="9"/>
        <v>0</v>
      </c>
      <c r="AD24" s="139">
        <f t="shared" si="10"/>
        <v>0</v>
      </c>
      <c r="AE24" s="139">
        <f t="shared" si="13"/>
        <v>248076.92307692309</v>
      </c>
      <c r="AF24" s="139">
        <f t="shared" si="14"/>
        <v>413461.53846153844</v>
      </c>
      <c r="AG24" s="139">
        <f t="shared" si="11"/>
        <v>7407968.7499999991</v>
      </c>
      <c r="AH24" s="139"/>
      <c r="AI24" s="139">
        <f t="shared" si="12"/>
        <v>7844.5512820512813</v>
      </c>
      <c r="AJ24" s="139"/>
      <c r="AK24" s="139">
        <v>150000</v>
      </c>
      <c r="AL24" s="139"/>
      <c r="AM24" s="139">
        <f t="shared" si="0"/>
        <v>157844.55128205128</v>
      </c>
      <c r="AN24" s="180">
        <f t="shared" si="1"/>
        <v>7250124.198717948</v>
      </c>
    </row>
    <row r="25" spans="1:42" hidden="1" x14ac:dyDescent="0.25">
      <c r="A25" s="59">
        <v>17</v>
      </c>
      <c r="B25" s="72" t="s">
        <v>66</v>
      </c>
      <c r="C25" s="73" t="s">
        <v>464</v>
      </c>
      <c r="D25" s="72">
        <v>26</v>
      </c>
      <c r="E25" s="131">
        <f t="shared" si="2"/>
        <v>7000000</v>
      </c>
      <c r="F25" s="126">
        <v>4450000</v>
      </c>
      <c r="G25" s="126">
        <v>500000</v>
      </c>
      <c r="H25" s="126">
        <v>250000</v>
      </c>
      <c r="I25" s="126">
        <v>300000</v>
      </c>
      <c r="J25" s="126"/>
      <c r="K25" s="126">
        <v>500000</v>
      </c>
      <c r="L25" s="126">
        <v>1000000</v>
      </c>
      <c r="M25" s="127">
        <f>'BẢNG CHẤM CÔNG T3'!D25</f>
        <v>23.5</v>
      </c>
      <c r="N25" s="127">
        <f>'BẢNG CHẤM CÔNG T3'!E25</f>
        <v>65</v>
      </c>
      <c r="O25" s="127">
        <f>'BẢNG CHẤM CÔNG T3'!F25</f>
        <v>2</v>
      </c>
      <c r="P25" s="127">
        <f>'BẢNG CHẤM CÔNG T3'!G25</f>
        <v>0.36666666666666664</v>
      </c>
      <c r="Q25" s="127">
        <f>'BẢNG CHẤM CÔNG T3'!H25</f>
        <v>0</v>
      </c>
      <c r="R25" s="127">
        <f>'BẢNG CHẤM CÔNG T3'!I25</f>
        <v>0</v>
      </c>
      <c r="S25" s="127">
        <f>'BẢNG CHẤM CÔNG T3'!J25</f>
        <v>1</v>
      </c>
      <c r="T25" s="127">
        <f>'BẢNG CHẤM CÔNG T3'!K25</f>
        <v>0</v>
      </c>
      <c r="U25" s="127">
        <f>'BẢNG CHẤM CÔNG T3'!L25</f>
        <v>0</v>
      </c>
      <c r="V25" s="127">
        <f>'BẢNG CHẤM CÔNG T3'!M25</f>
        <v>0</v>
      </c>
      <c r="W25" s="132">
        <f t="shared" si="3"/>
        <v>4022115.3846153845</v>
      </c>
      <c r="X25" s="132">
        <f t="shared" si="4"/>
        <v>2085937.5</v>
      </c>
      <c r="Y25" s="132">
        <f t="shared" si="5"/>
        <v>77019.230769230766</v>
      </c>
      <c r="Z25" s="132">
        <f t="shared" si="6"/>
        <v>0</v>
      </c>
      <c r="AA25" s="132">
        <f t="shared" si="7"/>
        <v>451923.07692307694</v>
      </c>
      <c r="AB25" s="132">
        <f t="shared" si="8"/>
        <v>225961.53846153847</v>
      </c>
      <c r="AC25" s="132">
        <f t="shared" si="9"/>
        <v>271153.84615384619</v>
      </c>
      <c r="AD25" s="132">
        <f t="shared" si="10"/>
        <v>0</v>
      </c>
      <c r="AE25" s="132">
        <f t="shared" si="13"/>
        <v>451923.07692307694</v>
      </c>
      <c r="AF25" s="132">
        <f t="shared" si="14"/>
        <v>903846.15384615387</v>
      </c>
      <c r="AG25" s="132">
        <f t="shared" si="11"/>
        <v>8489879.8076923061</v>
      </c>
      <c r="AH25" s="132"/>
      <c r="AI25" s="132">
        <f t="shared" si="12"/>
        <v>7844.5512820512813</v>
      </c>
      <c r="AJ25" s="132"/>
      <c r="AK25" s="132"/>
      <c r="AL25" s="132"/>
      <c r="AM25" s="132">
        <f t="shared" si="0"/>
        <v>7844.5512820512813</v>
      </c>
      <c r="AN25" s="180">
        <f t="shared" si="1"/>
        <v>8482035.2564102542</v>
      </c>
    </row>
    <row r="26" spans="1:42" hidden="1" x14ac:dyDescent="0.25">
      <c r="A26" s="59">
        <v>18</v>
      </c>
      <c r="B26" s="72" t="s">
        <v>68</v>
      </c>
      <c r="C26" s="73" t="s">
        <v>69</v>
      </c>
      <c r="D26" s="72">
        <v>26</v>
      </c>
      <c r="E26" s="131">
        <f t="shared" si="2"/>
        <v>6000000</v>
      </c>
      <c r="F26" s="126">
        <v>4450000</v>
      </c>
      <c r="G26" s="126">
        <v>500000</v>
      </c>
      <c r="H26" s="126">
        <v>250000</v>
      </c>
      <c r="I26" s="126"/>
      <c r="J26" s="126"/>
      <c r="K26" s="126">
        <v>300000</v>
      </c>
      <c r="L26" s="126">
        <v>500000</v>
      </c>
      <c r="M26" s="127">
        <f>'BẢNG CHẤM CÔNG T3'!D26</f>
        <v>24</v>
      </c>
      <c r="N26" s="127">
        <f>'BẢNG CHẤM CÔNG T3'!E26</f>
        <v>67.5</v>
      </c>
      <c r="O26" s="127">
        <f>'BẢNG CHẤM CÔNG T3'!F26</f>
        <v>1.5</v>
      </c>
      <c r="P26" s="127">
        <f>'BẢNG CHẤM CÔNG T3'!G26</f>
        <v>0</v>
      </c>
      <c r="Q26" s="127">
        <f>'BẢNG CHẤM CÔNG T3'!H26</f>
        <v>0</v>
      </c>
      <c r="R26" s="127">
        <f>'BẢNG CHẤM CÔNG T3'!I26</f>
        <v>0</v>
      </c>
      <c r="S26" s="127">
        <f>'BẢNG CHẤM CÔNG T3'!J26</f>
        <v>1</v>
      </c>
      <c r="T26" s="127">
        <f>'BẢNG CHẤM CÔNG T3'!K26</f>
        <v>0</v>
      </c>
      <c r="U26" s="127">
        <f>'BẢNG CHẤM CÔNG T3'!L26</f>
        <v>0</v>
      </c>
      <c r="V26" s="127">
        <f>'BẢNG CHẤM CÔNG T3'!M26</f>
        <v>0</v>
      </c>
      <c r="W26" s="132">
        <f t="shared" si="3"/>
        <v>4107692.307692308</v>
      </c>
      <c r="X26" s="132">
        <f t="shared" si="4"/>
        <v>2166165.8653846155</v>
      </c>
      <c r="Y26" s="132">
        <f t="shared" si="5"/>
        <v>57764.423076923085</v>
      </c>
      <c r="Z26" s="132">
        <f t="shared" si="6"/>
        <v>0</v>
      </c>
      <c r="AA26" s="132">
        <f t="shared" si="7"/>
        <v>461538.4615384615</v>
      </c>
      <c r="AB26" s="132">
        <f t="shared" si="8"/>
        <v>230769.23076923075</v>
      </c>
      <c r="AC26" s="132">
        <f t="shared" si="9"/>
        <v>0</v>
      </c>
      <c r="AD26" s="132">
        <f t="shared" si="10"/>
        <v>0</v>
      </c>
      <c r="AE26" s="132">
        <f t="shared" si="13"/>
        <v>276923.07692307694</v>
      </c>
      <c r="AF26" s="132">
        <f t="shared" si="14"/>
        <v>461538.4615384615</v>
      </c>
      <c r="AG26" s="132">
        <f t="shared" si="11"/>
        <v>7762391.8269230779</v>
      </c>
      <c r="AH26" s="132"/>
      <c r="AI26" s="132">
        <f t="shared" si="12"/>
        <v>0</v>
      </c>
      <c r="AJ26" s="132"/>
      <c r="AK26" s="132"/>
      <c r="AL26" s="132"/>
      <c r="AM26" s="132">
        <f t="shared" si="0"/>
        <v>0</v>
      </c>
      <c r="AN26" s="180">
        <f t="shared" si="1"/>
        <v>7762391.8269230779</v>
      </c>
    </row>
    <row r="27" spans="1:42" hidden="1" x14ac:dyDescent="0.25">
      <c r="A27" s="59">
        <v>19</v>
      </c>
      <c r="B27" s="72" t="s">
        <v>70</v>
      </c>
      <c r="C27" s="73" t="s">
        <v>71</v>
      </c>
      <c r="D27" s="72">
        <v>26</v>
      </c>
      <c r="E27" s="131">
        <f t="shared" si="2"/>
        <v>6000000</v>
      </c>
      <c r="F27" s="126">
        <v>4450000</v>
      </c>
      <c r="G27" s="126">
        <v>500000</v>
      </c>
      <c r="H27" s="126">
        <v>250000</v>
      </c>
      <c r="I27" s="126"/>
      <c r="J27" s="126"/>
      <c r="K27" s="126">
        <v>300000</v>
      </c>
      <c r="L27" s="126">
        <v>500000</v>
      </c>
      <c r="M27" s="127">
        <f>'BẢNG CHẤM CÔNG T3'!D27</f>
        <v>23</v>
      </c>
      <c r="N27" s="127">
        <f>'BẢNG CHẤM CÔNG T3'!E27</f>
        <v>79</v>
      </c>
      <c r="O27" s="127">
        <f>'BẢNG CHẤM CÔNG T3'!F27</f>
        <v>0</v>
      </c>
      <c r="P27" s="127">
        <f>'BẢNG CHẤM CÔNG T3'!G27</f>
        <v>0</v>
      </c>
      <c r="Q27" s="127">
        <f>'BẢNG CHẤM CÔNG T3'!H27</f>
        <v>32.5</v>
      </c>
      <c r="R27" s="127">
        <f>'BẢNG CHẤM CÔNG T3'!I27</f>
        <v>0</v>
      </c>
      <c r="S27" s="127">
        <f>'BẢNG CHẤM CÔNG T3'!J27</f>
        <v>1</v>
      </c>
      <c r="T27" s="127">
        <f>'BẢNG CHẤM CÔNG T3'!K27</f>
        <v>0</v>
      </c>
      <c r="U27" s="127">
        <f>'BẢNG CHẤM CÔNG T3'!L27</f>
        <v>0</v>
      </c>
      <c r="V27" s="127">
        <f>'BẢNG CHẤM CÔNG T3'!M27</f>
        <v>0</v>
      </c>
      <c r="W27" s="132">
        <f t="shared" si="3"/>
        <v>3936538.4615384615</v>
      </c>
      <c r="X27" s="132">
        <f t="shared" si="4"/>
        <v>2535216.346153846</v>
      </c>
      <c r="Y27" s="132">
        <f t="shared" si="5"/>
        <v>0</v>
      </c>
      <c r="Z27" s="132">
        <f t="shared" si="6"/>
        <v>1390625</v>
      </c>
      <c r="AA27" s="132">
        <f t="shared" si="7"/>
        <v>442307.69230769231</v>
      </c>
      <c r="AB27" s="132">
        <f t="shared" si="8"/>
        <v>221153.84615384616</v>
      </c>
      <c r="AC27" s="132">
        <f t="shared" si="9"/>
        <v>0</v>
      </c>
      <c r="AD27" s="132">
        <f t="shared" si="10"/>
        <v>0</v>
      </c>
      <c r="AE27" s="132">
        <f t="shared" si="13"/>
        <v>265384.61538461538</v>
      </c>
      <c r="AF27" s="132">
        <f t="shared" si="14"/>
        <v>442307.69230769231</v>
      </c>
      <c r="AG27" s="132">
        <f t="shared" si="11"/>
        <v>9233533.653846154</v>
      </c>
      <c r="AH27" s="132"/>
      <c r="AI27" s="132">
        <f t="shared" si="12"/>
        <v>0</v>
      </c>
      <c r="AJ27" s="132"/>
      <c r="AK27" s="132"/>
      <c r="AL27" s="132"/>
      <c r="AM27" s="132">
        <f t="shared" si="0"/>
        <v>0</v>
      </c>
      <c r="AN27" s="183">
        <f t="shared" si="1"/>
        <v>9233533.653846154</v>
      </c>
    </row>
    <row r="28" spans="1:42" hidden="1" x14ac:dyDescent="0.25">
      <c r="A28" s="59">
        <v>20</v>
      </c>
      <c r="B28" s="72" t="s">
        <v>72</v>
      </c>
      <c r="C28" s="73" t="s">
        <v>73</v>
      </c>
      <c r="D28" s="72">
        <v>26</v>
      </c>
      <c r="E28" s="131">
        <f t="shared" si="2"/>
        <v>6000000</v>
      </c>
      <c r="F28" s="126">
        <v>4450000</v>
      </c>
      <c r="G28" s="126">
        <v>500000</v>
      </c>
      <c r="H28" s="126">
        <v>250000</v>
      </c>
      <c r="I28" s="126"/>
      <c r="J28" s="126"/>
      <c r="K28" s="126">
        <v>300000</v>
      </c>
      <c r="L28" s="126">
        <v>500000</v>
      </c>
      <c r="M28" s="127">
        <f>'BẢNG CHẤM CÔNG T3'!D28</f>
        <v>24</v>
      </c>
      <c r="N28" s="127">
        <f>'BẢNG CHẤM CÔNG T3'!E28</f>
        <v>69.5</v>
      </c>
      <c r="O28" s="127">
        <f>'BẢNG CHẤM CÔNG T3'!F28</f>
        <v>0</v>
      </c>
      <c r="P28" s="127">
        <f>'BẢNG CHẤM CÔNG T3'!G28</f>
        <v>0</v>
      </c>
      <c r="Q28" s="127">
        <f>'BẢNG CHẤM CÔNG T3'!H28</f>
        <v>0</v>
      </c>
      <c r="R28" s="127">
        <f>'BẢNG CHẤM CÔNG T3'!I28</f>
        <v>0</v>
      </c>
      <c r="S28" s="127">
        <f>'BẢNG CHẤM CÔNG T3'!J28</f>
        <v>0</v>
      </c>
      <c r="T28" s="127">
        <f>'BẢNG CHẤM CÔNG T3'!K28</f>
        <v>0</v>
      </c>
      <c r="U28" s="127">
        <f>'BẢNG CHẤM CÔNG T3'!L28</f>
        <v>0</v>
      </c>
      <c r="V28" s="127">
        <f>'BẢNG CHẤM CÔNG T3'!M28</f>
        <v>0</v>
      </c>
      <c r="W28" s="132">
        <f t="shared" si="3"/>
        <v>4107692.307692308</v>
      </c>
      <c r="X28" s="132">
        <f t="shared" si="4"/>
        <v>2230348.557692308</v>
      </c>
      <c r="Y28" s="132">
        <f t="shared" si="5"/>
        <v>0</v>
      </c>
      <c r="Z28" s="132">
        <f t="shared" si="6"/>
        <v>0</v>
      </c>
      <c r="AA28" s="132">
        <f t="shared" si="7"/>
        <v>461538.4615384615</v>
      </c>
      <c r="AB28" s="132">
        <f t="shared" si="8"/>
        <v>230769.23076923075</v>
      </c>
      <c r="AC28" s="132">
        <f t="shared" si="9"/>
        <v>0</v>
      </c>
      <c r="AD28" s="132">
        <f t="shared" si="10"/>
        <v>0</v>
      </c>
      <c r="AE28" s="132">
        <f t="shared" si="13"/>
        <v>276923.07692307694</v>
      </c>
      <c r="AF28" s="132">
        <f t="shared" si="14"/>
        <v>461538.4615384615</v>
      </c>
      <c r="AG28" s="132">
        <f t="shared" si="11"/>
        <v>7768810.0961538479</v>
      </c>
      <c r="AH28" s="132"/>
      <c r="AI28" s="132">
        <f t="shared" si="12"/>
        <v>0</v>
      </c>
      <c r="AJ28" s="132"/>
      <c r="AK28" s="132"/>
      <c r="AL28" s="132"/>
      <c r="AM28" s="132">
        <f t="shared" si="0"/>
        <v>0</v>
      </c>
      <c r="AN28" s="180">
        <f t="shared" si="1"/>
        <v>7768810.0961538479</v>
      </c>
    </row>
    <row r="29" spans="1:42" hidden="1" x14ac:dyDescent="0.25">
      <c r="A29" s="59">
        <v>21</v>
      </c>
      <c r="B29" s="72" t="s">
        <v>74</v>
      </c>
      <c r="C29" s="73" t="s">
        <v>75</v>
      </c>
      <c r="D29" s="72">
        <v>26</v>
      </c>
      <c r="E29" s="131">
        <f t="shared" si="2"/>
        <v>5700000</v>
      </c>
      <c r="F29" s="126">
        <v>4450000</v>
      </c>
      <c r="G29" s="126">
        <v>500000</v>
      </c>
      <c r="H29" s="126">
        <v>250000</v>
      </c>
      <c r="I29" s="126"/>
      <c r="J29" s="126"/>
      <c r="K29" s="126"/>
      <c r="L29" s="126">
        <v>500000</v>
      </c>
      <c r="M29" s="127">
        <f>'BẢNG CHẤM CÔNG T3'!D29</f>
        <v>14</v>
      </c>
      <c r="N29" s="127">
        <f>'BẢNG CHẤM CÔNG T3'!E29</f>
        <v>29</v>
      </c>
      <c r="O29" s="127">
        <f>'BẢNG CHẤM CÔNG T3'!F29</f>
        <v>0</v>
      </c>
      <c r="P29" s="127">
        <f>'BẢNG CHẤM CÔNG T3'!G29</f>
        <v>0.5</v>
      </c>
      <c r="Q29" s="127">
        <f>'BẢNG CHẤM CÔNG T3'!H29</f>
        <v>16</v>
      </c>
      <c r="R29" s="127">
        <f>'BẢNG CHẤM CÔNG T3'!I29</f>
        <v>0</v>
      </c>
      <c r="S29" s="127">
        <f>'BẢNG CHẤM CÔNG T3'!J29</f>
        <v>1</v>
      </c>
      <c r="T29" s="127">
        <f>'BẢNG CHẤM CÔNG T3'!K29</f>
        <v>0</v>
      </c>
      <c r="U29" s="127">
        <f>'BẢNG CHẤM CÔNG T3'!L29</f>
        <v>0</v>
      </c>
      <c r="V29" s="127">
        <f>'BẢNG CHẤM CÔNG T3'!M29</f>
        <v>0</v>
      </c>
      <c r="W29" s="132">
        <f t="shared" si="3"/>
        <v>2396153.846153846</v>
      </c>
      <c r="X29" s="132">
        <f t="shared" si="4"/>
        <v>930649.0384615385</v>
      </c>
      <c r="Y29" s="132">
        <f t="shared" si="5"/>
        <v>0</v>
      </c>
      <c r="Z29" s="132">
        <f t="shared" si="6"/>
        <v>684615.38461538462</v>
      </c>
      <c r="AA29" s="132">
        <f t="shared" si="7"/>
        <v>269230.76923076925</v>
      </c>
      <c r="AB29" s="132">
        <f t="shared" si="8"/>
        <v>134615.38461538462</v>
      </c>
      <c r="AC29" s="132">
        <f t="shared" si="9"/>
        <v>0</v>
      </c>
      <c r="AD29" s="132">
        <f t="shared" si="10"/>
        <v>0</v>
      </c>
      <c r="AE29" s="132">
        <f t="shared" si="13"/>
        <v>0</v>
      </c>
      <c r="AF29" s="132">
        <f t="shared" si="14"/>
        <v>269230.76923076925</v>
      </c>
      <c r="AG29" s="132">
        <f t="shared" si="11"/>
        <v>4684495.192307692</v>
      </c>
      <c r="AH29" s="132"/>
      <c r="AI29" s="132">
        <f t="shared" si="12"/>
        <v>10697.115384615385</v>
      </c>
      <c r="AJ29" s="132"/>
      <c r="AK29" s="132"/>
      <c r="AL29" s="132"/>
      <c r="AM29" s="132">
        <f t="shared" si="0"/>
        <v>10697.115384615385</v>
      </c>
      <c r="AN29" s="141">
        <f t="shared" si="1"/>
        <v>4673798.076923077</v>
      </c>
      <c r="AO29" s="188">
        <v>4629207</v>
      </c>
      <c r="AP29" s="181"/>
    </row>
    <row r="30" spans="1:42" hidden="1" x14ac:dyDescent="0.25">
      <c r="A30" s="59">
        <v>22</v>
      </c>
      <c r="B30" s="72" t="s">
        <v>76</v>
      </c>
      <c r="C30" s="73" t="s">
        <v>77</v>
      </c>
      <c r="D30" s="72">
        <v>26</v>
      </c>
      <c r="E30" s="131">
        <f t="shared" si="2"/>
        <v>5700000</v>
      </c>
      <c r="F30" s="126">
        <v>4450000</v>
      </c>
      <c r="G30" s="126">
        <v>500000</v>
      </c>
      <c r="H30" s="126">
        <v>250000</v>
      </c>
      <c r="I30" s="126"/>
      <c r="J30" s="126"/>
      <c r="K30" s="126"/>
      <c r="L30" s="126">
        <v>500000</v>
      </c>
      <c r="M30" s="127">
        <f>'BẢNG CHẤM CÔNG T3'!D30</f>
        <v>14</v>
      </c>
      <c r="N30" s="127">
        <f>'BẢNG CHẤM CÔNG T3'!E30</f>
        <v>35</v>
      </c>
      <c r="O30" s="127">
        <f>'BẢNG CHẤM CÔNG T3'!F30</f>
        <v>0</v>
      </c>
      <c r="P30" s="127">
        <f>'BẢNG CHẤM CÔNG T3'!G30</f>
        <v>2</v>
      </c>
      <c r="Q30" s="127">
        <f>'BẢNG CHẤM CÔNG T3'!H30</f>
        <v>0</v>
      </c>
      <c r="R30" s="127">
        <f>'BẢNG CHẤM CÔNG T3'!I30</f>
        <v>0</v>
      </c>
      <c r="S30" s="127">
        <f>'BẢNG CHẤM CÔNG T3'!J30</f>
        <v>0</v>
      </c>
      <c r="T30" s="127">
        <f>'BẢNG CHẤM CÔNG T3'!K30</f>
        <v>0</v>
      </c>
      <c r="U30" s="127">
        <f>'BẢNG CHẤM CÔNG T3'!L30</f>
        <v>0</v>
      </c>
      <c r="V30" s="127">
        <f>'BẢNG CHẤM CÔNG T3'!M30</f>
        <v>0</v>
      </c>
      <c r="W30" s="132">
        <f t="shared" si="3"/>
        <v>2396153.846153846</v>
      </c>
      <c r="X30" s="132">
        <f t="shared" si="4"/>
        <v>1123197.1153846153</v>
      </c>
      <c r="Y30" s="132">
        <f t="shared" si="5"/>
        <v>0</v>
      </c>
      <c r="Z30" s="132">
        <f t="shared" si="6"/>
        <v>0</v>
      </c>
      <c r="AA30" s="132">
        <f t="shared" si="7"/>
        <v>269230.76923076925</v>
      </c>
      <c r="AB30" s="132">
        <f t="shared" si="8"/>
        <v>134615.38461538462</v>
      </c>
      <c r="AC30" s="132">
        <f t="shared" si="9"/>
        <v>0</v>
      </c>
      <c r="AD30" s="132">
        <f t="shared" si="10"/>
        <v>0</v>
      </c>
      <c r="AE30" s="132">
        <f t="shared" si="13"/>
        <v>0</v>
      </c>
      <c r="AF30" s="132">
        <f t="shared" si="14"/>
        <v>269230.76923076925</v>
      </c>
      <c r="AG30" s="132">
        <f t="shared" si="11"/>
        <v>4192427.884615384</v>
      </c>
      <c r="AH30" s="132"/>
      <c r="AI30" s="132">
        <f t="shared" si="12"/>
        <v>42788.461538461539</v>
      </c>
      <c r="AJ30" s="132"/>
      <c r="AK30" s="132"/>
      <c r="AL30" s="132"/>
      <c r="AM30" s="132">
        <f t="shared" si="0"/>
        <v>42788.461538461539</v>
      </c>
      <c r="AN30" s="180">
        <f t="shared" si="1"/>
        <v>4149639.4230769225</v>
      </c>
      <c r="AP30" s="181"/>
    </row>
    <row r="31" spans="1:42" hidden="1" x14ac:dyDescent="0.25">
      <c r="A31" s="59">
        <v>23</v>
      </c>
      <c r="B31" s="72" t="s">
        <v>78</v>
      </c>
      <c r="C31" s="73" t="s">
        <v>79</v>
      </c>
      <c r="D31" s="72">
        <v>26</v>
      </c>
      <c r="E31" s="131">
        <f t="shared" si="2"/>
        <v>5700000</v>
      </c>
      <c r="F31" s="126">
        <v>4450000</v>
      </c>
      <c r="G31" s="126">
        <v>500000</v>
      </c>
      <c r="H31" s="126">
        <v>250000</v>
      </c>
      <c r="I31" s="126"/>
      <c r="J31" s="126"/>
      <c r="K31" s="126"/>
      <c r="L31" s="126">
        <v>500000</v>
      </c>
      <c r="M31" s="127">
        <f>'BẢNG CHẤM CÔNG T3'!D31</f>
        <v>12</v>
      </c>
      <c r="N31" s="127">
        <f>'BẢNG CHẤM CÔNG T3'!E31</f>
        <v>12.5</v>
      </c>
      <c r="O31" s="127">
        <f>'BẢNG CHẤM CÔNG T3'!F31</f>
        <v>0</v>
      </c>
      <c r="P31" s="127">
        <f>'BẢNG CHẤM CÔNG T3'!G31</f>
        <v>2.5</v>
      </c>
      <c r="Q31" s="127">
        <f>'BẢNG CHẤM CÔNG T3'!H31</f>
        <v>8</v>
      </c>
      <c r="R31" s="127">
        <f>'BẢNG CHẤM CÔNG T3'!I31</f>
        <v>0</v>
      </c>
      <c r="S31" s="127">
        <f>'BẢNG CHẤM CÔNG T3'!J31</f>
        <v>0</v>
      </c>
      <c r="T31" s="127">
        <f>'BẢNG CHẤM CÔNG T3'!K31</f>
        <v>0</v>
      </c>
      <c r="U31" s="127">
        <f>'BẢNG CHẤM CÔNG T3'!L31</f>
        <v>0</v>
      </c>
      <c r="V31" s="127">
        <f>'BẢNG CHẤM CÔNG T3'!M31</f>
        <v>0</v>
      </c>
      <c r="W31" s="132">
        <f t="shared" si="3"/>
        <v>2053846.153846154</v>
      </c>
      <c r="X31" s="132">
        <f t="shared" si="4"/>
        <v>401141.82692307694</v>
      </c>
      <c r="Y31" s="132">
        <f t="shared" si="5"/>
        <v>0</v>
      </c>
      <c r="Z31" s="132">
        <f t="shared" si="6"/>
        <v>342307.69230769231</v>
      </c>
      <c r="AA31" s="132">
        <f t="shared" si="7"/>
        <v>230769.23076923075</v>
      </c>
      <c r="AB31" s="132">
        <f t="shared" si="8"/>
        <v>115384.61538461538</v>
      </c>
      <c r="AC31" s="132">
        <f t="shared" si="9"/>
        <v>0</v>
      </c>
      <c r="AD31" s="132">
        <f t="shared" si="10"/>
        <v>0</v>
      </c>
      <c r="AE31" s="132">
        <f t="shared" si="13"/>
        <v>0</v>
      </c>
      <c r="AF31" s="132">
        <f t="shared" si="14"/>
        <v>230769.23076923075</v>
      </c>
      <c r="AG31" s="132">
        <f t="shared" si="11"/>
        <v>3374218.75</v>
      </c>
      <c r="AH31" s="132"/>
      <c r="AI31" s="132">
        <f t="shared" si="12"/>
        <v>53485.576923076922</v>
      </c>
      <c r="AJ31" s="132"/>
      <c r="AK31" s="132"/>
      <c r="AL31" s="132"/>
      <c r="AM31" s="132">
        <f t="shared" si="0"/>
        <v>53485.576923076922</v>
      </c>
      <c r="AN31" s="180">
        <f t="shared" si="1"/>
        <v>3320733.173076923</v>
      </c>
    </row>
    <row r="32" spans="1:42" hidden="1" x14ac:dyDescent="0.25">
      <c r="A32" s="59">
        <v>24</v>
      </c>
      <c r="B32" s="72" t="s">
        <v>80</v>
      </c>
      <c r="C32" s="73" t="s">
        <v>81</v>
      </c>
      <c r="D32" s="72">
        <v>26</v>
      </c>
      <c r="E32" s="131">
        <f t="shared" si="2"/>
        <v>5700000</v>
      </c>
      <c r="F32" s="126">
        <v>4450000</v>
      </c>
      <c r="G32" s="126">
        <v>500000</v>
      </c>
      <c r="H32" s="126">
        <v>250000</v>
      </c>
      <c r="I32" s="126"/>
      <c r="J32" s="126"/>
      <c r="K32" s="126"/>
      <c r="L32" s="126">
        <v>500000</v>
      </c>
      <c r="M32" s="127">
        <f>'BẢNG CHẤM CÔNG T3'!D32</f>
        <v>12</v>
      </c>
      <c r="N32" s="127">
        <f>'BẢNG CHẤM CÔNG T3'!E32</f>
        <v>20.5</v>
      </c>
      <c r="O32" s="127">
        <f>'BẢNG CHẤM CÔNG T3'!F32</f>
        <v>0</v>
      </c>
      <c r="P32" s="127">
        <f>'BẢNG CHẤM CÔNG T3'!G32</f>
        <v>0</v>
      </c>
      <c r="Q32" s="127">
        <f>'BẢNG CHẤM CÔNG T3'!H32</f>
        <v>0</v>
      </c>
      <c r="R32" s="127">
        <f>'BẢNG CHẤM CÔNG T3'!I32</f>
        <v>0</v>
      </c>
      <c r="S32" s="127">
        <f>'BẢNG CHẤM CÔNG T3'!J32</f>
        <v>0</v>
      </c>
      <c r="T32" s="127">
        <f>'BẢNG CHẤM CÔNG T3'!K32</f>
        <v>0</v>
      </c>
      <c r="U32" s="127">
        <f>'BẢNG CHẤM CÔNG T3'!L32</f>
        <v>0</v>
      </c>
      <c r="V32" s="127">
        <f>'BẢNG CHẤM CÔNG T3'!M32</f>
        <v>0</v>
      </c>
      <c r="W32" s="132">
        <f t="shared" si="3"/>
        <v>2053846.153846154</v>
      </c>
      <c r="X32" s="132">
        <f t="shared" si="4"/>
        <v>657872.59615384613</v>
      </c>
      <c r="Y32" s="132">
        <f t="shared" si="5"/>
        <v>0</v>
      </c>
      <c r="Z32" s="132">
        <f t="shared" si="6"/>
        <v>0</v>
      </c>
      <c r="AA32" s="132">
        <f t="shared" si="7"/>
        <v>230769.23076923075</v>
      </c>
      <c r="AB32" s="132">
        <f t="shared" si="8"/>
        <v>115384.61538461538</v>
      </c>
      <c r="AC32" s="132">
        <f t="shared" si="9"/>
        <v>0</v>
      </c>
      <c r="AD32" s="132">
        <f t="shared" si="10"/>
        <v>0</v>
      </c>
      <c r="AE32" s="132">
        <f t="shared" si="13"/>
        <v>0</v>
      </c>
      <c r="AF32" s="132">
        <f t="shared" si="14"/>
        <v>230769.23076923075</v>
      </c>
      <c r="AG32" s="132">
        <f t="shared" si="11"/>
        <v>3288641.826923077</v>
      </c>
      <c r="AH32" s="132"/>
      <c r="AI32" s="132">
        <f t="shared" si="12"/>
        <v>0</v>
      </c>
      <c r="AJ32" s="132"/>
      <c r="AK32" s="132"/>
      <c r="AL32" s="132"/>
      <c r="AM32" s="132">
        <f t="shared" si="0"/>
        <v>0</v>
      </c>
      <c r="AN32" s="180">
        <f t="shared" si="1"/>
        <v>3288641.826923077</v>
      </c>
    </row>
    <row r="33" spans="1:40" hidden="1" x14ac:dyDescent="0.25">
      <c r="A33" s="59">
        <v>25</v>
      </c>
      <c r="B33" s="72" t="s">
        <v>82</v>
      </c>
      <c r="C33" s="73" t="s">
        <v>83</v>
      </c>
      <c r="D33" s="72">
        <v>26</v>
      </c>
      <c r="E33" s="131">
        <f t="shared" si="2"/>
        <v>5700000</v>
      </c>
      <c r="F33" s="126">
        <v>4450000</v>
      </c>
      <c r="G33" s="126">
        <v>500000</v>
      </c>
      <c r="H33" s="126">
        <v>250000</v>
      </c>
      <c r="I33" s="126"/>
      <c r="J33" s="126"/>
      <c r="K33" s="126"/>
      <c r="L33" s="126">
        <v>500000</v>
      </c>
      <c r="M33" s="127">
        <f>'BẢNG CHẤM CÔNG T3'!D33</f>
        <v>12</v>
      </c>
      <c r="N33" s="127">
        <f>'BẢNG CHẤM CÔNG T3'!E33</f>
        <v>22.5</v>
      </c>
      <c r="O33" s="127">
        <f>'BẢNG CHẤM CÔNG T3'!F33</f>
        <v>0</v>
      </c>
      <c r="P33" s="127">
        <f>'BẢNG CHẤM CÔNG T3'!G33</f>
        <v>0</v>
      </c>
      <c r="Q33" s="127">
        <f>'BẢNG CHẤM CÔNG T3'!H33</f>
        <v>0</v>
      </c>
      <c r="R33" s="127">
        <f>'BẢNG CHẤM CÔNG T3'!I33</f>
        <v>0</v>
      </c>
      <c r="S33" s="127">
        <f>'BẢNG CHẤM CÔNG T3'!J33</f>
        <v>0</v>
      </c>
      <c r="T33" s="127">
        <f>'BẢNG CHẤM CÔNG T3'!K33</f>
        <v>0</v>
      </c>
      <c r="U33" s="127">
        <f>'BẢNG CHẤM CÔNG T3'!L33</f>
        <v>0</v>
      </c>
      <c r="V33" s="127">
        <f>'BẢNG CHẤM CÔNG T3'!M33</f>
        <v>0</v>
      </c>
      <c r="W33" s="132">
        <f t="shared" si="3"/>
        <v>2053846.153846154</v>
      </c>
      <c r="X33" s="132">
        <f t="shared" si="4"/>
        <v>722055.2884615385</v>
      </c>
      <c r="Y33" s="132">
        <f t="shared" si="5"/>
        <v>0</v>
      </c>
      <c r="Z33" s="132">
        <f t="shared" si="6"/>
        <v>0</v>
      </c>
      <c r="AA33" s="132">
        <f t="shared" si="7"/>
        <v>230769.23076923075</v>
      </c>
      <c r="AB33" s="132">
        <f t="shared" si="8"/>
        <v>115384.61538461538</v>
      </c>
      <c r="AC33" s="132">
        <f t="shared" si="9"/>
        <v>0</v>
      </c>
      <c r="AD33" s="132">
        <f t="shared" si="10"/>
        <v>0</v>
      </c>
      <c r="AE33" s="132">
        <f t="shared" si="13"/>
        <v>0</v>
      </c>
      <c r="AF33" s="132">
        <f t="shared" si="14"/>
        <v>230769.23076923075</v>
      </c>
      <c r="AG33" s="132">
        <f t="shared" si="11"/>
        <v>3352824.519230769</v>
      </c>
      <c r="AH33" s="132"/>
      <c r="AI33" s="132">
        <f t="shared" si="12"/>
        <v>0</v>
      </c>
      <c r="AJ33" s="132"/>
      <c r="AK33" s="132"/>
      <c r="AL33" s="132"/>
      <c r="AM33" s="132">
        <f t="shared" si="0"/>
        <v>0</v>
      </c>
      <c r="AN33" s="180">
        <f t="shared" si="1"/>
        <v>3352824.519230769</v>
      </c>
    </row>
    <row r="34" spans="1:40" hidden="1" x14ac:dyDescent="0.25">
      <c r="A34" s="59">
        <v>26</v>
      </c>
      <c r="B34" s="72" t="s">
        <v>84</v>
      </c>
      <c r="C34" s="73" t="s">
        <v>85</v>
      </c>
      <c r="D34" s="72">
        <v>26</v>
      </c>
      <c r="E34" s="131">
        <f t="shared" si="2"/>
        <v>5700000</v>
      </c>
      <c r="F34" s="126">
        <v>4450000</v>
      </c>
      <c r="G34" s="126">
        <v>500000</v>
      </c>
      <c r="H34" s="126">
        <v>250000</v>
      </c>
      <c r="I34" s="126"/>
      <c r="J34" s="126"/>
      <c r="K34" s="126"/>
      <c r="L34" s="126">
        <v>500000</v>
      </c>
      <c r="M34" s="127">
        <f>'BẢNG CHẤM CÔNG T3'!D34</f>
        <v>9</v>
      </c>
      <c r="N34" s="127">
        <f>'BẢNG CHẤM CÔNG T3'!E34</f>
        <v>10.5</v>
      </c>
      <c r="O34" s="127">
        <f>'BẢNG CHẤM CÔNG T3'!F34</f>
        <v>0</v>
      </c>
      <c r="P34" s="127">
        <f>'BẢNG CHẤM CÔNG T3'!G34</f>
        <v>0</v>
      </c>
      <c r="Q34" s="127">
        <f>'BẢNG CHẤM CÔNG T3'!H34</f>
        <v>0</v>
      </c>
      <c r="R34" s="127">
        <f>'BẢNG CHẤM CÔNG T3'!I34</f>
        <v>0</v>
      </c>
      <c r="S34" s="127">
        <f>'BẢNG CHẤM CÔNG T3'!J34</f>
        <v>0</v>
      </c>
      <c r="T34" s="127">
        <f>'BẢNG CHẤM CÔNG T3'!K34</f>
        <v>0</v>
      </c>
      <c r="U34" s="127">
        <f>'BẢNG CHẤM CÔNG T3'!L34</f>
        <v>0</v>
      </c>
      <c r="V34" s="127">
        <f>'BẢNG CHẤM CÔNG T3'!M34</f>
        <v>0</v>
      </c>
      <c r="W34" s="132">
        <f t="shared" si="3"/>
        <v>1540384.6153846155</v>
      </c>
      <c r="X34" s="132">
        <f t="shared" si="4"/>
        <v>336959.13461538462</v>
      </c>
      <c r="Y34" s="132">
        <f t="shared" si="5"/>
        <v>0</v>
      </c>
      <c r="Z34" s="132">
        <f t="shared" si="6"/>
        <v>0</v>
      </c>
      <c r="AA34" s="132">
        <f t="shared" si="7"/>
        <v>173076.92307692306</v>
      </c>
      <c r="AB34" s="132">
        <f t="shared" si="8"/>
        <v>86538.461538461532</v>
      </c>
      <c r="AC34" s="132">
        <f t="shared" si="9"/>
        <v>0</v>
      </c>
      <c r="AD34" s="132">
        <f t="shared" si="10"/>
        <v>0</v>
      </c>
      <c r="AE34" s="132">
        <f t="shared" si="13"/>
        <v>0</v>
      </c>
      <c r="AF34" s="132">
        <f t="shared" si="14"/>
        <v>173076.92307692306</v>
      </c>
      <c r="AG34" s="132">
        <f t="shared" si="11"/>
        <v>2310036.0576923075</v>
      </c>
      <c r="AH34" s="132"/>
      <c r="AI34" s="132">
        <f t="shared" si="12"/>
        <v>0</v>
      </c>
      <c r="AJ34" s="132"/>
      <c r="AK34" s="132"/>
      <c r="AL34" s="132"/>
      <c r="AM34" s="132">
        <f t="shared" si="0"/>
        <v>0</v>
      </c>
      <c r="AN34" s="180">
        <f t="shared" si="1"/>
        <v>2310036.0576923075</v>
      </c>
    </row>
    <row r="35" spans="1:40" hidden="1" x14ac:dyDescent="0.25">
      <c r="A35" s="59">
        <v>27</v>
      </c>
      <c r="B35" s="72" t="s">
        <v>86</v>
      </c>
      <c r="C35" s="73" t="s">
        <v>87</v>
      </c>
      <c r="D35" s="72">
        <v>26</v>
      </c>
      <c r="E35" s="131">
        <f t="shared" si="2"/>
        <v>5700000</v>
      </c>
      <c r="F35" s="126">
        <v>4450000</v>
      </c>
      <c r="G35" s="126">
        <v>500000</v>
      </c>
      <c r="H35" s="126">
        <v>250000</v>
      </c>
      <c r="I35" s="126"/>
      <c r="J35" s="126"/>
      <c r="K35" s="126"/>
      <c r="L35" s="126">
        <v>500000</v>
      </c>
      <c r="M35" s="127">
        <f>'BẢNG CHẤM CÔNG T3'!D35</f>
        <v>8</v>
      </c>
      <c r="N35" s="127">
        <f>'BẢNG CHẤM CÔNG T3'!E35</f>
        <v>25</v>
      </c>
      <c r="O35" s="127">
        <f>'BẢNG CHẤM CÔNG T3'!F35</f>
        <v>0</v>
      </c>
      <c r="P35" s="127">
        <f>'BẢNG CHẤM CÔNG T3'!G35</f>
        <v>0</v>
      </c>
      <c r="Q35" s="127">
        <f>'BẢNG CHẤM CÔNG T3'!H35</f>
        <v>0</v>
      </c>
      <c r="R35" s="127">
        <f>'BẢNG CHẤM CÔNG T3'!I35</f>
        <v>0</v>
      </c>
      <c r="S35" s="127">
        <f>'BẢNG CHẤM CÔNG T3'!J35</f>
        <v>0</v>
      </c>
      <c r="T35" s="127">
        <f>'BẢNG CHẤM CÔNG T3'!K35</f>
        <v>0</v>
      </c>
      <c r="U35" s="127">
        <f>'BẢNG CHẤM CÔNG T3'!L35</f>
        <v>0</v>
      </c>
      <c r="V35" s="127">
        <f>'BẢNG CHẤM CÔNG T3'!M35</f>
        <v>0</v>
      </c>
      <c r="W35" s="132">
        <f t="shared" si="3"/>
        <v>1369230.7692307692</v>
      </c>
      <c r="X35" s="132">
        <f t="shared" si="4"/>
        <v>802283.65384615387</v>
      </c>
      <c r="Y35" s="132">
        <f t="shared" si="5"/>
        <v>0</v>
      </c>
      <c r="Z35" s="132">
        <f t="shared" si="6"/>
        <v>0</v>
      </c>
      <c r="AA35" s="132">
        <f t="shared" si="7"/>
        <v>153846.15384615384</v>
      </c>
      <c r="AB35" s="132">
        <f t="shared" si="8"/>
        <v>76923.076923076922</v>
      </c>
      <c r="AC35" s="132">
        <f t="shared" si="9"/>
        <v>0</v>
      </c>
      <c r="AD35" s="132">
        <f t="shared" si="10"/>
        <v>0</v>
      </c>
      <c r="AE35" s="132">
        <f t="shared" si="13"/>
        <v>0</v>
      </c>
      <c r="AF35" s="132">
        <f t="shared" si="14"/>
        <v>153846.15384615384</v>
      </c>
      <c r="AG35" s="132">
        <f t="shared" si="11"/>
        <v>2556129.807692308</v>
      </c>
      <c r="AH35" s="132"/>
      <c r="AI35" s="132">
        <f t="shared" si="12"/>
        <v>0</v>
      </c>
      <c r="AJ35" s="132"/>
      <c r="AK35" s="132"/>
      <c r="AL35" s="132"/>
      <c r="AM35" s="132">
        <f t="shared" si="0"/>
        <v>0</v>
      </c>
      <c r="AN35" s="183">
        <f t="shared" si="1"/>
        <v>2556129.807692308</v>
      </c>
    </row>
    <row r="36" spans="1:40" hidden="1" x14ac:dyDescent="0.25">
      <c r="A36" s="59">
        <v>28</v>
      </c>
      <c r="B36" s="72" t="s">
        <v>88</v>
      </c>
      <c r="C36" s="73" t="s">
        <v>89</v>
      </c>
      <c r="D36" s="72">
        <v>26</v>
      </c>
      <c r="E36" s="131">
        <f t="shared" si="2"/>
        <v>5700000</v>
      </c>
      <c r="F36" s="126">
        <v>4450000</v>
      </c>
      <c r="G36" s="126">
        <v>500000</v>
      </c>
      <c r="H36" s="126">
        <v>250000</v>
      </c>
      <c r="I36" s="126"/>
      <c r="J36" s="126"/>
      <c r="K36" s="126"/>
      <c r="L36" s="126">
        <v>500000</v>
      </c>
      <c r="M36" s="127">
        <f>'BẢNG CHẤM CÔNG T3'!D36</f>
        <v>8</v>
      </c>
      <c r="N36" s="127">
        <f>'BẢNG CHẤM CÔNG T3'!E36</f>
        <v>25</v>
      </c>
      <c r="O36" s="127">
        <f>'BẢNG CHẤM CÔNG T3'!F36</f>
        <v>0</v>
      </c>
      <c r="P36" s="127">
        <f>'BẢNG CHẤM CÔNG T3'!G36</f>
        <v>0</v>
      </c>
      <c r="Q36" s="127">
        <f>'BẢNG CHẤM CÔNG T3'!H36</f>
        <v>0</v>
      </c>
      <c r="R36" s="127">
        <f>'BẢNG CHẤM CÔNG T3'!I36</f>
        <v>0</v>
      </c>
      <c r="S36" s="127">
        <f>'BẢNG CHẤM CÔNG T3'!J36</f>
        <v>0</v>
      </c>
      <c r="T36" s="127">
        <f>'BẢNG CHẤM CÔNG T3'!K36</f>
        <v>0</v>
      </c>
      <c r="U36" s="127">
        <f>'BẢNG CHẤM CÔNG T3'!L36</f>
        <v>0</v>
      </c>
      <c r="V36" s="127">
        <f>'BẢNG CHẤM CÔNG T3'!M36</f>
        <v>0</v>
      </c>
      <c r="W36" s="132">
        <f t="shared" si="3"/>
        <v>1369230.7692307692</v>
      </c>
      <c r="X36" s="132">
        <f t="shared" si="4"/>
        <v>802283.65384615387</v>
      </c>
      <c r="Y36" s="132">
        <f t="shared" si="5"/>
        <v>0</v>
      </c>
      <c r="Z36" s="132">
        <f t="shared" si="6"/>
        <v>0</v>
      </c>
      <c r="AA36" s="132">
        <f t="shared" si="7"/>
        <v>153846.15384615384</v>
      </c>
      <c r="AB36" s="132">
        <f t="shared" si="8"/>
        <v>76923.076923076922</v>
      </c>
      <c r="AC36" s="132">
        <f t="shared" si="9"/>
        <v>0</v>
      </c>
      <c r="AD36" s="132">
        <f t="shared" si="10"/>
        <v>0</v>
      </c>
      <c r="AE36" s="132">
        <f t="shared" si="13"/>
        <v>0</v>
      </c>
      <c r="AF36" s="132">
        <f t="shared" si="14"/>
        <v>153846.15384615384</v>
      </c>
      <c r="AG36" s="132">
        <f t="shared" si="11"/>
        <v>2556129.807692308</v>
      </c>
      <c r="AH36" s="132"/>
      <c r="AI36" s="132">
        <f t="shared" si="12"/>
        <v>0</v>
      </c>
      <c r="AJ36" s="132"/>
      <c r="AK36" s="132"/>
      <c r="AL36" s="132"/>
      <c r="AM36" s="132">
        <f t="shared" si="0"/>
        <v>0</v>
      </c>
      <c r="AN36" s="180">
        <f t="shared" si="1"/>
        <v>2556129.807692308</v>
      </c>
    </row>
    <row r="37" spans="1:40" hidden="1" x14ac:dyDescent="0.25">
      <c r="A37" s="59">
        <v>29</v>
      </c>
      <c r="B37" s="72" t="s">
        <v>499</v>
      </c>
      <c r="C37" s="73" t="s">
        <v>482</v>
      </c>
      <c r="D37" s="72">
        <v>26</v>
      </c>
      <c r="E37" s="131">
        <f t="shared" si="2"/>
        <v>5200000</v>
      </c>
      <c r="F37" s="126">
        <v>4450000</v>
      </c>
      <c r="G37" s="126">
        <v>500000</v>
      </c>
      <c r="H37" s="126">
        <v>250000</v>
      </c>
      <c r="I37" s="126"/>
      <c r="J37" s="126"/>
      <c r="K37" s="126"/>
      <c r="L37" s="126"/>
      <c r="M37" s="127">
        <f>'BẢNG CHẤM CÔNG T3'!D37</f>
        <v>5</v>
      </c>
      <c r="N37" s="127">
        <f>'BẢNG CHẤM CÔNG T3'!E37</f>
        <v>14.5</v>
      </c>
      <c r="O37" s="127">
        <f>'BẢNG CHẤM CÔNG T3'!F37</f>
        <v>0</v>
      </c>
      <c r="P37" s="127">
        <f>'BẢNG CHẤM CÔNG T3'!G37</f>
        <v>0</v>
      </c>
      <c r="Q37" s="127">
        <f>'BẢNG CHẤM CÔNG T3'!H37</f>
        <v>8</v>
      </c>
      <c r="R37" s="127">
        <f>'BẢNG CHẤM CÔNG T3'!I37</f>
        <v>0</v>
      </c>
      <c r="S37" s="127">
        <f>'BẢNG CHẤM CÔNG T3'!J37</f>
        <v>0</v>
      </c>
      <c r="T37" s="127">
        <f>'BẢNG CHẤM CÔNG T3'!K37</f>
        <v>0</v>
      </c>
      <c r="U37" s="127">
        <f>'BẢNG CHẤM CÔNG T3'!L37</f>
        <v>0</v>
      </c>
      <c r="V37" s="127">
        <f>'BẢNG CHẤM CÔNG T3'!M37</f>
        <v>0</v>
      </c>
      <c r="W37" s="132">
        <f t="shared" si="3"/>
        <v>855769.23076923075</v>
      </c>
      <c r="X37" s="132">
        <f t="shared" si="4"/>
        <v>465324.51923076925</v>
      </c>
      <c r="Y37" s="132">
        <f t="shared" si="5"/>
        <v>0</v>
      </c>
      <c r="Z37" s="132">
        <f t="shared" si="6"/>
        <v>342307.69230769231</v>
      </c>
      <c r="AA37" s="132">
        <f t="shared" si="7"/>
        <v>96153.846153846156</v>
      </c>
      <c r="AB37" s="132">
        <f t="shared" si="8"/>
        <v>48076.923076923078</v>
      </c>
      <c r="AC37" s="132">
        <f t="shared" si="9"/>
        <v>0</v>
      </c>
      <c r="AD37" s="132">
        <f t="shared" si="10"/>
        <v>0</v>
      </c>
      <c r="AE37" s="132">
        <f t="shared" si="13"/>
        <v>0</v>
      </c>
      <c r="AF37" s="132">
        <f t="shared" si="14"/>
        <v>0</v>
      </c>
      <c r="AG37" s="132">
        <f t="shared" si="11"/>
        <v>1807632.2115384615</v>
      </c>
      <c r="AH37" s="132"/>
      <c r="AI37" s="132">
        <f t="shared" si="12"/>
        <v>0</v>
      </c>
      <c r="AJ37" s="132"/>
      <c r="AK37" s="132"/>
      <c r="AL37" s="132"/>
      <c r="AM37" s="132">
        <f t="shared" si="0"/>
        <v>0</v>
      </c>
      <c r="AN37" s="141">
        <f t="shared" si="1"/>
        <v>1807632.2115384615</v>
      </c>
    </row>
    <row r="38" spans="1:40" hidden="1" x14ac:dyDescent="0.25">
      <c r="A38" s="59">
        <v>30</v>
      </c>
      <c r="B38" s="72" t="s">
        <v>315</v>
      </c>
      <c r="C38" s="73" t="s">
        <v>316</v>
      </c>
      <c r="D38" s="72">
        <v>26</v>
      </c>
      <c r="E38" s="131">
        <f t="shared" si="2"/>
        <v>5200000</v>
      </c>
      <c r="F38" s="126">
        <v>4450000</v>
      </c>
      <c r="G38" s="126">
        <v>500000</v>
      </c>
      <c r="H38" s="126">
        <v>250000</v>
      </c>
      <c r="I38" s="126"/>
      <c r="J38" s="126"/>
      <c r="K38" s="126"/>
      <c r="L38" s="126"/>
      <c r="M38" s="127">
        <f>'BẢNG CHẤM CÔNG T3'!D38</f>
        <v>11</v>
      </c>
      <c r="N38" s="127">
        <f>'BẢNG CHẤM CÔNG T3'!E38</f>
        <v>0</v>
      </c>
      <c r="O38" s="127">
        <f>'BẢNG CHẤM CÔNG T3'!F38</f>
        <v>0</v>
      </c>
      <c r="P38" s="127">
        <f>'BẢNG CHẤM CÔNG T3'!G38</f>
        <v>0</v>
      </c>
      <c r="Q38" s="127">
        <f>'BẢNG CHẤM CÔNG T3'!H38</f>
        <v>0</v>
      </c>
      <c r="R38" s="127">
        <f>'BẢNG CHẤM CÔNG T3'!I38</f>
        <v>0</v>
      </c>
      <c r="S38" s="127">
        <f>'BẢNG CHẤM CÔNG T3'!J38</f>
        <v>0</v>
      </c>
      <c r="T38" s="127">
        <f>'BẢNG CHẤM CÔNG T3'!K38</f>
        <v>0</v>
      </c>
      <c r="U38" s="127">
        <f>'BẢNG CHẤM CÔNG T3'!L38</f>
        <v>0</v>
      </c>
      <c r="V38" s="127">
        <f>'BẢNG CHẤM CÔNG T3'!M38</f>
        <v>0</v>
      </c>
      <c r="W38" s="132">
        <f>F38/D38*M38</f>
        <v>1882692.3076923077</v>
      </c>
      <c r="X38" s="132">
        <f t="shared" si="4"/>
        <v>0</v>
      </c>
      <c r="Y38" s="132">
        <f>F38/D38/8*O38*1.8</f>
        <v>0</v>
      </c>
      <c r="Z38" s="132">
        <f t="shared" si="6"/>
        <v>0</v>
      </c>
      <c r="AA38" s="132">
        <f t="shared" si="7"/>
        <v>211538.46153846153</v>
      </c>
      <c r="AB38" s="132">
        <f>H38/D38*M38</f>
        <v>105769.23076923077</v>
      </c>
      <c r="AC38" s="132">
        <f t="shared" si="9"/>
        <v>0</v>
      </c>
      <c r="AD38" s="132">
        <f t="shared" si="10"/>
        <v>0</v>
      </c>
      <c r="AE38" s="132">
        <f t="shared" si="13"/>
        <v>0</v>
      </c>
      <c r="AF38" s="132">
        <f t="shared" si="14"/>
        <v>0</v>
      </c>
      <c r="AG38" s="132">
        <f t="shared" si="11"/>
        <v>2200000</v>
      </c>
      <c r="AH38" s="132"/>
      <c r="AI38" s="132">
        <f t="shared" si="12"/>
        <v>0</v>
      </c>
      <c r="AJ38" s="132"/>
      <c r="AK38" s="132"/>
      <c r="AL38" s="132"/>
      <c r="AM38" s="132">
        <f t="shared" si="0"/>
        <v>0</v>
      </c>
      <c r="AN38" s="183">
        <f t="shared" si="1"/>
        <v>2200000</v>
      </c>
    </row>
    <row r="39" spans="1:40" ht="15.75" hidden="1" x14ac:dyDescent="0.25">
      <c r="A39" s="400" t="s">
        <v>518</v>
      </c>
      <c r="B39" s="401"/>
      <c r="C39" s="401"/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401"/>
      <c r="AJ39" s="401"/>
      <c r="AK39" s="401"/>
      <c r="AL39" s="401"/>
      <c r="AM39" s="401"/>
      <c r="AN39" s="402"/>
    </row>
    <row r="40" spans="1:40" x14ac:dyDescent="0.25">
      <c r="A40" s="59">
        <v>31</v>
      </c>
      <c r="B40" s="72" t="s">
        <v>90</v>
      </c>
      <c r="C40" s="73" t="s">
        <v>91</v>
      </c>
      <c r="D40" s="72">
        <v>26</v>
      </c>
      <c r="E40" s="131">
        <f>SUM(F40:L40)</f>
        <v>10000000</v>
      </c>
      <c r="F40" s="126">
        <v>4850000</v>
      </c>
      <c r="G40" s="126"/>
      <c r="H40" s="126">
        <v>250000</v>
      </c>
      <c r="I40" s="126">
        <v>1000000</v>
      </c>
      <c r="J40" s="126">
        <v>600000</v>
      </c>
      <c r="K40" s="126">
        <v>700000</v>
      </c>
      <c r="L40" s="126">
        <v>2600000</v>
      </c>
      <c r="M40" s="127">
        <f>'BẢNG CHẤM CÔNG T3'!D40</f>
        <v>25</v>
      </c>
      <c r="N40" s="127">
        <f>'BẢNG CHẤM CÔNG T3'!E40</f>
        <v>56</v>
      </c>
      <c r="O40" s="127">
        <f>'BẢNG CHẤM CÔNG T3'!F40</f>
        <v>23</v>
      </c>
      <c r="P40" s="127">
        <f>'BẢNG CHẤM CÔNG T3'!G40</f>
        <v>0</v>
      </c>
      <c r="Q40" s="127">
        <f>'BẢNG CHẤM CÔNG T3'!H40</f>
        <v>19</v>
      </c>
      <c r="R40" s="127">
        <f>'BẢNG CHẤM CÔNG T3'!I40</f>
        <v>0</v>
      </c>
      <c r="S40" s="127">
        <f>'BẢNG CHẤM CÔNG T3'!J40</f>
        <v>1</v>
      </c>
      <c r="T40" s="127">
        <f>'BẢNG CHẤM CÔNG T3'!K40</f>
        <v>0</v>
      </c>
      <c r="U40" s="127">
        <f>'BẢNG CHẤM CÔNG T3'!L40</f>
        <v>0</v>
      </c>
      <c r="V40" s="127">
        <f>'BẢNG CHẤM CÔNG T3'!M40</f>
        <v>0</v>
      </c>
      <c r="W40" s="132">
        <f>F40/D40*M40</f>
        <v>4663461.538461538</v>
      </c>
      <c r="X40" s="132">
        <f t="shared" si="4"/>
        <v>1958653.846153846</v>
      </c>
      <c r="Y40" s="132">
        <f>F40/D40/8*O40*1.8</f>
        <v>965336.53846153838</v>
      </c>
      <c r="Z40" s="132">
        <f t="shared" si="6"/>
        <v>886057.69230769225</v>
      </c>
      <c r="AA40" s="132">
        <f t="shared" si="7"/>
        <v>0</v>
      </c>
      <c r="AB40" s="132">
        <f>H40/D40*M40</f>
        <v>240384.61538461538</v>
      </c>
      <c r="AC40" s="132">
        <f t="shared" si="9"/>
        <v>961538.4615384615</v>
      </c>
      <c r="AD40" s="132">
        <f t="shared" si="10"/>
        <v>576923.07692307699</v>
      </c>
      <c r="AE40" s="132">
        <f t="shared" si="13"/>
        <v>673076.92307692301</v>
      </c>
      <c r="AF40" s="132">
        <f t="shared" si="14"/>
        <v>2500000</v>
      </c>
      <c r="AG40" s="197">
        <f t="shared" si="11"/>
        <v>13425432.692307692</v>
      </c>
      <c r="AH40" s="132"/>
      <c r="AI40" s="132">
        <f t="shared" si="12"/>
        <v>0</v>
      </c>
      <c r="AJ40" s="132"/>
      <c r="AK40" s="132"/>
      <c r="AL40" s="132"/>
      <c r="AM40" s="132">
        <f>SUM(AI40:AK40)</f>
        <v>0</v>
      </c>
      <c r="AN40" s="180">
        <f>AG40-AM40</f>
        <v>13425432.692307692</v>
      </c>
    </row>
    <row r="41" spans="1:40" x14ac:dyDescent="0.25">
      <c r="A41" s="59">
        <v>32</v>
      </c>
      <c r="B41" s="72" t="s">
        <v>92</v>
      </c>
      <c r="C41" s="73" t="s">
        <v>93</v>
      </c>
      <c r="D41" s="72">
        <v>26</v>
      </c>
      <c r="E41" s="131">
        <f t="shared" ref="E41:E44" si="15">SUM(F41:L41)</f>
        <v>9500000</v>
      </c>
      <c r="F41" s="126">
        <v>4450000</v>
      </c>
      <c r="G41" s="126">
        <v>500000</v>
      </c>
      <c r="H41" s="126">
        <v>250000</v>
      </c>
      <c r="I41" s="126">
        <v>1000000</v>
      </c>
      <c r="J41" s="126"/>
      <c r="K41" s="126">
        <v>700000</v>
      </c>
      <c r="L41" s="126">
        <v>2600000</v>
      </c>
      <c r="M41" s="127">
        <f>'BẢNG CHẤM CÔNG T3'!D41</f>
        <v>24</v>
      </c>
      <c r="N41" s="127">
        <f>'BẢNG CHẤM CÔNG T3'!E41</f>
        <v>50.5</v>
      </c>
      <c r="O41" s="127">
        <f>'BẢNG CHẤM CÔNG T3'!F41</f>
        <v>20</v>
      </c>
      <c r="P41" s="127">
        <f>'BẢNG CHẤM CÔNG T3'!G41</f>
        <v>2.5</v>
      </c>
      <c r="Q41" s="127">
        <f>'BẢNG CHẤM CÔNG T3'!H41</f>
        <v>25.5</v>
      </c>
      <c r="R41" s="127">
        <f>'BẢNG CHẤM CÔNG T3'!I41</f>
        <v>0</v>
      </c>
      <c r="S41" s="127">
        <f>'BẢNG CHẤM CÔNG T3'!J41</f>
        <v>2</v>
      </c>
      <c r="T41" s="127">
        <f>'BẢNG CHẤM CÔNG T3'!K41</f>
        <v>0</v>
      </c>
      <c r="U41" s="127">
        <f>'BẢNG CHẤM CÔNG T3'!L41</f>
        <v>0</v>
      </c>
      <c r="V41" s="127">
        <f>'BẢNG CHẤM CÔNG T3'!M41</f>
        <v>0</v>
      </c>
      <c r="W41" s="132">
        <f t="shared" ref="W41:W44" si="16">F41/D41*M41</f>
        <v>4107692.307692308</v>
      </c>
      <c r="X41" s="132">
        <f t="shared" si="4"/>
        <v>1620612.9807692305</v>
      </c>
      <c r="Y41" s="132">
        <f t="shared" ref="Y41:Y92" si="17">F41/D41/8*O41*1.8</f>
        <v>770192.30769230775</v>
      </c>
      <c r="Z41" s="132">
        <f t="shared" si="6"/>
        <v>1091105.7692307692</v>
      </c>
      <c r="AA41" s="132">
        <f t="shared" si="7"/>
        <v>461538.4615384615</v>
      </c>
      <c r="AB41" s="132">
        <f t="shared" ref="AB41:AB92" si="18">H41/D41*M41</f>
        <v>230769.23076923075</v>
      </c>
      <c r="AC41" s="132">
        <f t="shared" si="9"/>
        <v>923076.92307692301</v>
      </c>
      <c r="AD41" s="132">
        <f t="shared" si="10"/>
        <v>0</v>
      </c>
      <c r="AE41" s="132">
        <f t="shared" si="13"/>
        <v>646153.84615384613</v>
      </c>
      <c r="AF41" s="132">
        <f t="shared" si="14"/>
        <v>2400000</v>
      </c>
      <c r="AG41" s="197">
        <f t="shared" si="11"/>
        <v>12251141.826923076</v>
      </c>
      <c r="AH41" s="132"/>
      <c r="AI41" s="132">
        <f t="shared" si="12"/>
        <v>53485.576923076922</v>
      </c>
      <c r="AJ41" s="132"/>
      <c r="AK41" s="132"/>
      <c r="AL41" s="132"/>
      <c r="AM41" s="132">
        <f>SUM(AI41:AK41)</f>
        <v>53485.576923076922</v>
      </c>
      <c r="AN41" s="180">
        <f>AG41-AM41</f>
        <v>12197656.25</v>
      </c>
    </row>
    <row r="42" spans="1:40" x14ac:dyDescent="0.25">
      <c r="A42" s="59">
        <v>33</v>
      </c>
      <c r="B42" s="72" t="s">
        <v>94</v>
      </c>
      <c r="C42" s="73" t="s">
        <v>475</v>
      </c>
      <c r="D42" s="72">
        <v>26</v>
      </c>
      <c r="E42" s="131">
        <f t="shared" si="15"/>
        <v>9000000</v>
      </c>
      <c r="F42" s="126">
        <v>4450000</v>
      </c>
      <c r="G42" s="126">
        <v>500000</v>
      </c>
      <c r="H42" s="126">
        <v>250000</v>
      </c>
      <c r="I42" s="126">
        <v>1000000</v>
      </c>
      <c r="J42" s="126"/>
      <c r="K42" s="126">
        <v>700000</v>
      </c>
      <c r="L42" s="126">
        <v>2100000</v>
      </c>
      <c r="M42" s="127">
        <f>'BẢNG CHẤM CÔNG T3'!D42</f>
        <v>25</v>
      </c>
      <c r="N42" s="127">
        <f>'BẢNG CHẤM CÔNG T3'!E42</f>
        <v>46.2</v>
      </c>
      <c r="O42" s="127">
        <f>'BẢNG CHẤM CÔNG T3'!F42</f>
        <v>6</v>
      </c>
      <c r="P42" s="127">
        <f>'BẢNG CHẤM CÔNG T3'!G42</f>
        <v>2</v>
      </c>
      <c r="Q42" s="127">
        <f>'BẢNG CHẤM CÔNG T3'!H42</f>
        <v>23.5</v>
      </c>
      <c r="R42" s="127">
        <f>'BẢNG CHẤM CÔNG T3'!I42</f>
        <v>0</v>
      </c>
      <c r="S42" s="127">
        <f>'BẢNG CHẤM CÔNG T3'!J42</f>
        <v>1</v>
      </c>
      <c r="T42" s="127">
        <f>'BẢNG CHẤM CÔNG T3'!K42</f>
        <v>0</v>
      </c>
      <c r="U42" s="127">
        <f>'BẢNG CHẤM CÔNG T3'!L42</f>
        <v>0</v>
      </c>
      <c r="V42" s="127">
        <f>'BẢNG CHẤM CÔNG T3'!M42</f>
        <v>0</v>
      </c>
      <c r="W42" s="132">
        <f t="shared" si="16"/>
        <v>4278846.153846154</v>
      </c>
      <c r="X42" s="132">
        <f t="shared" si="4"/>
        <v>1482620.1923076925</v>
      </c>
      <c r="Y42" s="132">
        <f t="shared" si="17"/>
        <v>231057.69230769234</v>
      </c>
      <c r="Z42" s="132">
        <f t="shared" si="6"/>
        <v>1005528.8461538461</v>
      </c>
      <c r="AA42" s="132">
        <f t="shared" si="7"/>
        <v>480769.23076923075</v>
      </c>
      <c r="AB42" s="132">
        <f t="shared" si="18"/>
        <v>240384.61538461538</v>
      </c>
      <c r="AC42" s="132">
        <f t="shared" si="9"/>
        <v>961538.4615384615</v>
      </c>
      <c r="AD42" s="132">
        <f t="shared" si="10"/>
        <v>0</v>
      </c>
      <c r="AE42" s="132">
        <f t="shared" si="13"/>
        <v>673076.92307692301</v>
      </c>
      <c r="AF42" s="132">
        <f t="shared" si="14"/>
        <v>2019230.7692307692</v>
      </c>
      <c r="AG42" s="197">
        <f t="shared" si="11"/>
        <v>11373052.884615386</v>
      </c>
      <c r="AH42" s="132"/>
      <c r="AI42" s="132">
        <f t="shared" si="12"/>
        <v>42788.461538461539</v>
      </c>
      <c r="AJ42" s="132"/>
      <c r="AK42" s="132"/>
      <c r="AL42" s="132"/>
      <c r="AM42" s="132">
        <f>SUM(AI42:AK42)</f>
        <v>42788.461538461539</v>
      </c>
      <c r="AN42" s="180">
        <f>AG42-AM42</f>
        <v>11330264.423076924</v>
      </c>
    </row>
    <row r="43" spans="1:40" x14ac:dyDescent="0.25">
      <c r="A43" s="59">
        <v>34</v>
      </c>
      <c r="B43" s="72" t="s">
        <v>96</v>
      </c>
      <c r="C43" s="73" t="s">
        <v>97</v>
      </c>
      <c r="D43" s="72">
        <v>26</v>
      </c>
      <c r="E43" s="131">
        <f t="shared" si="15"/>
        <v>9000000</v>
      </c>
      <c r="F43" s="126">
        <v>4450000</v>
      </c>
      <c r="G43" s="126">
        <v>500000</v>
      </c>
      <c r="H43" s="126">
        <v>250000</v>
      </c>
      <c r="I43" s="126">
        <v>1000000</v>
      </c>
      <c r="J43" s="126"/>
      <c r="K43" s="126">
        <v>700000</v>
      </c>
      <c r="L43" s="126">
        <v>2100000</v>
      </c>
      <c r="M43" s="127">
        <f>'BẢNG CHẤM CÔNG T3'!D43</f>
        <v>25</v>
      </c>
      <c r="N43" s="127">
        <f>'BẢNG CHẤM CÔNG T3'!E43</f>
        <v>51.5</v>
      </c>
      <c r="O43" s="127">
        <f>'BẢNG CHẤM CÔNG T3'!F43</f>
        <v>19.5</v>
      </c>
      <c r="P43" s="127">
        <f>'BẢNG CHẤM CÔNG T3'!G43</f>
        <v>0.5</v>
      </c>
      <c r="Q43" s="127">
        <f>'BẢNG CHẤM CÔNG T3'!H43</f>
        <v>25.5</v>
      </c>
      <c r="R43" s="127">
        <f>'BẢNG CHẤM CÔNG T3'!I43</f>
        <v>0</v>
      </c>
      <c r="S43" s="127">
        <f>'BẢNG CHẤM CÔNG T3'!J43</f>
        <v>1</v>
      </c>
      <c r="T43" s="127">
        <f>'BẢNG CHẤM CÔNG T3'!K43</f>
        <v>0</v>
      </c>
      <c r="U43" s="127">
        <f>'BẢNG CHẤM CÔNG T3'!L43</f>
        <v>0</v>
      </c>
      <c r="V43" s="127">
        <f>'BẢNG CHẤM CÔNG T3'!M43</f>
        <v>0</v>
      </c>
      <c r="W43" s="132">
        <f t="shared" si="16"/>
        <v>4278846.153846154</v>
      </c>
      <c r="X43" s="132">
        <f t="shared" si="4"/>
        <v>1652704.326923077</v>
      </c>
      <c r="Y43" s="132">
        <f t="shared" si="17"/>
        <v>750937.5</v>
      </c>
      <c r="Z43" s="132">
        <f t="shared" si="6"/>
        <v>1091105.7692307692</v>
      </c>
      <c r="AA43" s="132">
        <f t="shared" si="7"/>
        <v>480769.23076923075</v>
      </c>
      <c r="AB43" s="132">
        <f t="shared" si="18"/>
        <v>240384.61538461538</v>
      </c>
      <c r="AC43" s="132">
        <f t="shared" si="9"/>
        <v>961538.4615384615</v>
      </c>
      <c r="AD43" s="132">
        <f t="shared" si="10"/>
        <v>0</v>
      </c>
      <c r="AE43" s="132">
        <f t="shared" si="13"/>
        <v>673076.92307692301</v>
      </c>
      <c r="AF43" s="132">
        <f t="shared" si="14"/>
        <v>2019230.7692307692</v>
      </c>
      <c r="AG43" s="197">
        <f t="shared" si="11"/>
        <v>12148593.750000002</v>
      </c>
      <c r="AH43" s="132"/>
      <c r="AI43" s="132">
        <f t="shared" si="12"/>
        <v>10697.115384615385</v>
      </c>
      <c r="AJ43" s="132"/>
      <c r="AK43" s="132"/>
      <c r="AL43" s="132"/>
      <c r="AM43" s="132">
        <f>SUM(AI43:AK43)</f>
        <v>10697.115384615385</v>
      </c>
      <c r="AN43" s="180">
        <f>AG43-AM43</f>
        <v>12137896.634615386</v>
      </c>
    </row>
    <row r="44" spans="1:40" x14ac:dyDescent="0.25">
      <c r="A44" s="59">
        <v>35</v>
      </c>
      <c r="B44" s="72" t="s">
        <v>98</v>
      </c>
      <c r="C44" s="73" t="s">
        <v>99</v>
      </c>
      <c r="D44" s="72">
        <v>26</v>
      </c>
      <c r="E44" s="131">
        <f t="shared" si="15"/>
        <v>8300000</v>
      </c>
      <c r="F44" s="126">
        <v>4450000</v>
      </c>
      <c r="G44" s="126">
        <v>500000</v>
      </c>
      <c r="H44" s="126">
        <v>250000</v>
      </c>
      <c r="I44" s="126">
        <v>500000</v>
      </c>
      <c r="J44" s="126">
        <v>800000</v>
      </c>
      <c r="K44" s="126">
        <v>600000</v>
      </c>
      <c r="L44" s="126">
        <v>1200000</v>
      </c>
      <c r="M44" s="127">
        <f>'BẢNG CHẤM CÔNG T3'!D44</f>
        <v>26</v>
      </c>
      <c r="N44" s="127">
        <f>'BẢNG CHẤM CÔNG T3'!E44</f>
        <v>70</v>
      </c>
      <c r="O44" s="127">
        <f>'BẢNG CHẤM CÔNG T3'!F44</f>
        <v>23.5</v>
      </c>
      <c r="P44" s="127">
        <f>'BẢNG CHẤM CÔNG T3'!G44</f>
        <v>0</v>
      </c>
      <c r="Q44" s="127">
        <f>'BẢNG CHẤM CÔNG T3'!H44</f>
        <v>34.5</v>
      </c>
      <c r="R44" s="127">
        <f>'BẢNG CHẤM CÔNG T3'!I44</f>
        <v>0</v>
      </c>
      <c r="S44" s="127">
        <f>'BẢNG CHẤM CÔNG T3'!J44</f>
        <v>0</v>
      </c>
      <c r="T44" s="127">
        <f>'BẢNG CHẤM CÔNG T3'!K44</f>
        <v>0</v>
      </c>
      <c r="U44" s="127">
        <f>'BẢNG CHẤM CÔNG T3'!L44</f>
        <v>0</v>
      </c>
      <c r="V44" s="127">
        <f>'BẢNG CHẤM CÔNG T3'!M44</f>
        <v>0</v>
      </c>
      <c r="W44" s="132">
        <f t="shared" si="16"/>
        <v>4450000</v>
      </c>
      <c r="X44" s="132">
        <f t="shared" si="4"/>
        <v>2246394.2307692305</v>
      </c>
      <c r="Y44" s="132">
        <f t="shared" si="17"/>
        <v>904975.9615384615</v>
      </c>
      <c r="Z44" s="132">
        <f>F44/D44/8*Q44*2</f>
        <v>1476201.923076923</v>
      </c>
      <c r="AA44" s="132">
        <f t="shared" si="7"/>
        <v>500000</v>
      </c>
      <c r="AB44" s="132">
        <f t="shared" si="18"/>
        <v>250000</v>
      </c>
      <c r="AC44" s="132">
        <f t="shared" si="9"/>
        <v>500000</v>
      </c>
      <c r="AD44" s="132">
        <f t="shared" si="10"/>
        <v>800000</v>
      </c>
      <c r="AE44" s="132">
        <f t="shared" si="13"/>
        <v>600000</v>
      </c>
      <c r="AF44" s="132">
        <f t="shared" si="14"/>
        <v>1200000</v>
      </c>
      <c r="AG44" s="197">
        <f t="shared" si="11"/>
        <v>12927572.115384616</v>
      </c>
      <c r="AH44" s="132"/>
      <c r="AI44" s="132">
        <f t="shared" si="12"/>
        <v>0</v>
      </c>
      <c r="AJ44" s="132"/>
      <c r="AK44" s="132"/>
      <c r="AL44" s="132"/>
      <c r="AM44" s="132">
        <f>SUM(AI44:AK44)</f>
        <v>0</v>
      </c>
      <c r="AN44" s="180">
        <f>AG44-AM44</f>
        <v>12927572.115384616</v>
      </c>
    </row>
    <row r="45" spans="1:40" ht="15" hidden="1" customHeight="1" x14ac:dyDescent="0.25">
      <c r="A45" s="397" t="s">
        <v>519</v>
      </c>
      <c r="B45" s="398"/>
      <c r="C45" s="398"/>
      <c r="D45" s="398"/>
      <c r="E45" s="398"/>
      <c r="F45" s="398"/>
      <c r="G45" s="398"/>
      <c r="H45" s="398"/>
      <c r="I45" s="398"/>
      <c r="J45" s="398"/>
      <c r="K45" s="398"/>
      <c r="L45" s="398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398"/>
      <c r="AG45" s="398"/>
      <c r="AH45" s="398"/>
      <c r="AI45" s="398"/>
      <c r="AJ45" s="398"/>
      <c r="AK45" s="398"/>
      <c r="AL45" s="398"/>
      <c r="AM45" s="398"/>
      <c r="AN45" s="399"/>
    </row>
    <row r="46" spans="1:40" x14ac:dyDescent="0.25">
      <c r="A46" s="59">
        <v>36</v>
      </c>
      <c r="B46" s="72" t="s">
        <v>346</v>
      </c>
      <c r="C46" s="73" t="s">
        <v>347</v>
      </c>
      <c r="D46" s="72">
        <v>26</v>
      </c>
      <c r="E46" s="131">
        <f>SUM(F46:L46)</f>
        <v>8500000</v>
      </c>
      <c r="F46" s="128">
        <v>4450000</v>
      </c>
      <c r="G46" s="128">
        <v>500000</v>
      </c>
      <c r="H46" s="128">
        <v>250000</v>
      </c>
      <c r="I46" s="128">
        <v>500000</v>
      </c>
      <c r="J46" s="128">
        <v>1000000</v>
      </c>
      <c r="K46" s="128">
        <v>600000</v>
      </c>
      <c r="L46" s="128">
        <v>1200000</v>
      </c>
      <c r="M46" s="127">
        <f>'BẢNG CHẤM CÔNG T3'!D46</f>
        <v>26</v>
      </c>
      <c r="N46" s="127">
        <f>'BẢNG CHẤM CÔNG T3'!E46</f>
        <v>104.5</v>
      </c>
      <c r="O46" s="127">
        <f>'BẢNG CHẤM CÔNG T3'!F46</f>
        <v>8</v>
      </c>
      <c r="P46" s="127">
        <f>'BẢNG CHẤM CÔNG T3'!G46</f>
        <v>1.5</v>
      </c>
      <c r="Q46" s="127">
        <f>'BẢNG CHẤM CÔNG T3'!H46</f>
        <v>44</v>
      </c>
      <c r="R46" s="127">
        <f>'BẢNG CHẤM CÔNG T3'!I46</f>
        <v>0</v>
      </c>
      <c r="S46" s="127">
        <f>'BẢNG CHẤM CÔNG T3'!J46</f>
        <v>0</v>
      </c>
      <c r="T46" s="127">
        <f>'BẢNG CHẤM CÔNG T3'!K46</f>
        <v>0</v>
      </c>
      <c r="U46" s="127">
        <f>'BẢNG CHẤM CÔNG T3'!L46</f>
        <v>0</v>
      </c>
      <c r="V46" s="127">
        <f>'BẢNG CHẤM CÔNG T3'!M46</f>
        <v>0</v>
      </c>
      <c r="W46" s="132">
        <f>F46/D46*M46</f>
        <v>4450000</v>
      </c>
      <c r="X46" s="132">
        <f t="shared" si="4"/>
        <v>3353545.673076923</v>
      </c>
      <c r="Y46" s="132">
        <f t="shared" si="17"/>
        <v>308076.92307692306</v>
      </c>
      <c r="Z46" s="132">
        <f>F46/D46/8*Q46*2</f>
        <v>1882692.3076923077</v>
      </c>
      <c r="AA46" s="132">
        <f t="shared" si="7"/>
        <v>500000</v>
      </c>
      <c r="AB46" s="132">
        <f t="shared" si="18"/>
        <v>250000</v>
      </c>
      <c r="AC46" s="132">
        <f t="shared" si="9"/>
        <v>500000</v>
      </c>
      <c r="AD46" s="132">
        <f t="shared" si="10"/>
        <v>1000000</v>
      </c>
      <c r="AE46" s="132">
        <f>K46/D46*M46</f>
        <v>600000</v>
      </c>
      <c r="AF46" s="132">
        <f t="shared" si="14"/>
        <v>1200000</v>
      </c>
      <c r="AG46" s="197">
        <f t="shared" si="11"/>
        <v>14044314.903846154</v>
      </c>
      <c r="AH46" s="132"/>
      <c r="AI46" s="132">
        <f t="shared" si="12"/>
        <v>32091.346153846156</v>
      </c>
      <c r="AJ46" s="132"/>
      <c r="AK46" s="132"/>
      <c r="AL46" s="132"/>
      <c r="AM46" s="132">
        <f t="shared" ref="AM46:AM88" si="19">SUM(AI46:AK46)</f>
        <v>32091.346153846156</v>
      </c>
      <c r="AN46" s="180">
        <f t="shared" ref="AN46:AN87" si="20">AG46-AM46</f>
        <v>14012223.557692308</v>
      </c>
    </row>
    <row r="47" spans="1:40" x14ac:dyDescent="0.25">
      <c r="A47" s="59">
        <v>37</v>
      </c>
      <c r="B47" s="72" t="s">
        <v>106</v>
      </c>
      <c r="C47" s="73" t="s">
        <v>107</v>
      </c>
      <c r="D47" s="72">
        <v>26</v>
      </c>
      <c r="E47" s="131">
        <f t="shared" ref="E47:E88" si="21">SUM(F47:L47)</f>
        <v>7500000</v>
      </c>
      <c r="F47" s="128">
        <v>4450000</v>
      </c>
      <c r="G47" s="128"/>
      <c r="H47" s="128">
        <v>250000</v>
      </c>
      <c r="I47" s="126">
        <v>500000</v>
      </c>
      <c r="J47" s="126">
        <v>500000</v>
      </c>
      <c r="K47" s="126">
        <v>300000</v>
      </c>
      <c r="L47" s="126">
        <v>1500000</v>
      </c>
      <c r="M47" s="127">
        <f>'BẢNG CHẤM CÔNG T3'!D47</f>
        <v>24.5</v>
      </c>
      <c r="N47" s="127">
        <f>'BẢNG CHẤM CÔNG T3'!E47</f>
        <v>94.5</v>
      </c>
      <c r="O47" s="127">
        <f>'BẢNG CHẤM CÔNG T3'!F47</f>
        <v>12</v>
      </c>
      <c r="P47" s="127">
        <f>'BẢNG CHẤM CÔNG T3'!G47</f>
        <v>0</v>
      </c>
      <c r="Q47" s="127">
        <f>'BẢNG CHẤM CÔNG T3'!H47</f>
        <v>29.5</v>
      </c>
      <c r="R47" s="127">
        <f>'BẢNG CHẤM CÔNG T3'!I47</f>
        <v>0</v>
      </c>
      <c r="S47" s="127">
        <f>'BẢNG CHẤM CÔNG T3'!J47</f>
        <v>1</v>
      </c>
      <c r="T47" s="127">
        <f>'BẢNG CHẤM CÔNG T3'!K47</f>
        <v>0</v>
      </c>
      <c r="U47" s="127">
        <f>'BẢNG CHẤM CÔNG T3'!L47</f>
        <v>0</v>
      </c>
      <c r="V47" s="127">
        <f>'BẢNG CHẤM CÔNG T3'!M47</f>
        <v>0</v>
      </c>
      <c r="W47" s="132">
        <f t="shared" ref="W47:W88" si="22">F47/D47*M47</f>
        <v>4193269.230769231</v>
      </c>
      <c r="X47" s="132">
        <f t="shared" si="4"/>
        <v>3032632.2115384615</v>
      </c>
      <c r="Y47" s="132">
        <f t="shared" si="17"/>
        <v>462115.38461538468</v>
      </c>
      <c r="Z47" s="132">
        <f t="shared" ref="Z47:Z92" si="23">F47/D47/8*Q47*2</f>
        <v>1262259.6153846155</v>
      </c>
      <c r="AA47" s="132">
        <f t="shared" si="7"/>
        <v>0</v>
      </c>
      <c r="AB47" s="132">
        <f t="shared" si="18"/>
        <v>235576.92307692306</v>
      </c>
      <c r="AC47" s="132">
        <f t="shared" si="9"/>
        <v>471153.84615384613</v>
      </c>
      <c r="AD47" s="132">
        <f t="shared" si="10"/>
        <v>471153.84615384613</v>
      </c>
      <c r="AE47" s="132">
        <f t="shared" ref="AE47:AE88" si="24">K47/D47*M47</f>
        <v>282692.30769230769</v>
      </c>
      <c r="AF47" s="132">
        <f t="shared" si="14"/>
        <v>1413461.5384615385</v>
      </c>
      <c r="AG47" s="197">
        <f t="shared" si="11"/>
        <v>11824314.903846154</v>
      </c>
      <c r="AH47" s="132"/>
      <c r="AI47" s="132">
        <f t="shared" si="12"/>
        <v>0</v>
      </c>
      <c r="AJ47" s="132"/>
      <c r="AK47" s="132"/>
      <c r="AL47" s="132"/>
      <c r="AM47" s="132">
        <f t="shared" si="19"/>
        <v>0</v>
      </c>
      <c r="AN47" s="180">
        <f t="shared" si="20"/>
        <v>11824314.903846154</v>
      </c>
    </row>
    <row r="48" spans="1:40" x14ac:dyDescent="0.25">
      <c r="A48" s="59">
        <v>38</v>
      </c>
      <c r="B48" s="72" t="s">
        <v>108</v>
      </c>
      <c r="C48" s="73" t="s">
        <v>109</v>
      </c>
      <c r="D48" s="72">
        <v>26</v>
      </c>
      <c r="E48" s="131">
        <f t="shared" si="21"/>
        <v>7500000</v>
      </c>
      <c r="F48" s="128">
        <v>4450000</v>
      </c>
      <c r="G48" s="128">
        <v>500000</v>
      </c>
      <c r="H48" s="128">
        <v>250000</v>
      </c>
      <c r="I48" s="126">
        <v>300000</v>
      </c>
      <c r="J48" s="126"/>
      <c r="K48" s="126">
        <v>500000</v>
      </c>
      <c r="L48" s="126">
        <v>1500000</v>
      </c>
      <c r="M48" s="127">
        <f>'BẢNG CHẤM CÔNG T3'!D48</f>
        <v>26</v>
      </c>
      <c r="N48" s="127">
        <f>'BẢNG CHẤM CÔNG T3'!E48</f>
        <v>100</v>
      </c>
      <c r="O48" s="127">
        <f>'BẢNG CHẤM CÔNG T3'!F48</f>
        <v>5</v>
      </c>
      <c r="P48" s="127">
        <f>'BẢNG CHẤM CÔNG T3'!G48</f>
        <v>0</v>
      </c>
      <c r="Q48" s="127">
        <f>'BẢNG CHẤM CÔNG T3'!H48</f>
        <v>43</v>
      </c>
      <c r="R48" s="127">
        <f>'BẢNG CHẤM CÔNG T3'!I48</f>
        <v>0</v>
      </c>
      <c r="S48" s="127">
        <f>'BẢNG CHẤM CÔNG T3'!J48</f>
        <v>0</v>
      </c>
      <c r="T48" s="127">
        <f>'BẢNG CHẤM CÔNG T3'!K48</f>
        <v>0</v>
      </c>
      <c r="U48" s="127">
        <f>'BẢNG CHẤM CÔNG T3'!L48</f>
        <v>0</v>
      </c>
      <c r="V48" s="127">
        <f>'BẢNG CHẤM CÔNG T3'!M48</f>
        <v>0</v>
      </c>
      <c r="W48" s="132">
        <f t="shared" si="22"/>
        <v>4450000</v>
      </c>
      <c r="X48" s="132">
        <f t="shared" si="4"/>
        <v>3209134.6153846155</v>
      </c>
      <c r="Y48" s="132">
        <f t="shared" si="17"/>
        <v>192548.07692307694</v>
      </c>
      <c r="Z48" s="132">
        <f t="shared" si="23"/>
        <v>1839903.8461538462</v>
      </c>
      <c r="AA48" s="132">
        <f t="shared" si="7"/>
        <v>500000</v>
      </c>
      <c r="AB48" s="132">
        <f t="shared" si="18"/>
        <v>250000</v>
      </c>
      <c r="AC48" s="132">
        <f t="shared" si="9"/>
        <v>300000</v>
      </c>
      <c r="AD48" s="132">
        <f t="shared" si="10"/>
        <v>0</v>
      </c>
      <c r="AE48" s="132">
        <f t="shared" si="24"/>
        <v>500000</v>
      </c>
      <c r="AF48" s="132">
        <f t="shared" si="14"/>
        <v>1500000</v>
      </c>
      <c r="AG48" s="197">
        <f t="shared" si="11"/>
        <v>12741586.53846154</v>
      </c>
      <c r="AH48" s="132"/>
      <c r="AI48" s="132">
        <f t="shared" si="12"/>
        <v>0</v>
      </c>
      <c r="AJ48" s="132"/>
      <c r="AK48" s="132"/>
      <c r="AL48" s="132"/>
      <c r="AM48" s="132">
        <f t="shared" si="19"/>
        <v>0</v>
      </c>
      <c r="AN48" s="180">
        <f t="shared" si="20"/>
        <v>12741586.53846154</v>
      </c>
    </row>
    <row r="49" spans="1:40" hidden="1" x14ac:dyDescent="0.25">
      <c r="A49" s="59">
        <v>39</v>
      </c>
      <c r="B49" s="72" t="s">
        <v>110</v>
      </c>
      <c r="C49" s="73" t="s">
        <v>111</v>
      </c>
      <c r="D49" s="72">
        <v>26</v>
      </c>
      <c r="E49" s="131">
        <f t="shared" si="21"/>
        <v>7300000</v>
      </c>
      <c r="F49" s="128">
        <v>4450000</v>
      </c>
      <c r="G49" s="128">
        <v>500000</v>
      </c>
      <c r="H49" s="128">
        <v>250000</v>
      </c>
      <c r="I49" s="126">
        <v>300000</v>
      </c>
      <c r="J49" s="126"/>
      <c r="K49" s="126">
        <v>600000</v>
      </c>
      <c r="L49" s="126">
        <v>1200000</v>
      </c>
      <c r="M49" s="127">
        <f>'BẢNG CHẤM CÔNG T3'!D49</f>
        <v>26</v>
      </c>
      <c r="N49" s="127">
        <f>'BẢNG CHẤM CÔNG T3'!E49</f>
        <v>50.5</v>
      </c>
      <c r="O49" s="127">
        <f>'BẢNG CHẤM CÔNG T3'!F49</f>
        <v>0</v>
      </c>
      <c r="P49" s="127">
        <f>'BẢNG CHẤM CÔNG T3'!G49</f>
        <v>0</v>
      </c>
      <c r="Q49" s="127">
        <f>'BẢNG CHẤM CÔNG T3'!H49</f>
        <v>0</v>
      </c>
      <c r="R49" s="127">
        <f>'BẢNG CHẤM CÔNG T3'!I49</f>
        <v>0</v>
      </c>
      <c r="S49" s="127">
        <f>'BẢNG CHẤM CÔNG T3'!J49</f>
        <v>0</v>
      </c>
      <c r="T49" s="127">
        <f>'BẢNG CHẤM CÔNG T3'!K49</f>
        <v>0</v>
      </c>
      <c r="U49" s="127">
        <f>'BẢNG CHẤM CÔNG T3'!L49</f>
        <v>0</v>
      </c>
      <c r="V49" s="127">
        <f>'BẢNG CHẤM CÔNG T3'!M49</f>
        <v>0</v>
      </c>
      <c r="W49" s="132">
        <f t="shared" si="22"/>
        <v>4450000</v>
      </c>
      <c r="X49" s="132">
        <f t="shared" si="4"/>
        <v>1620612.9807692305</v>
      </c>
      <c r="Y49" s="132">
        <f t="shared" si="17"/>
        <v>0</v>
      </c>
      <c r="Z49" s="132">
        <f t="shared" si="23"/>
        <v>0</v>
      </c>
      <c r="AA49" s="132">
        <f t="shared" si="7"/>
        <v>500000</v>
      </c>
      <c r="AB49" s="132">
        <f t="shared" si="18"/>
        <v>250000</v>
      </c>
      <c r="AC49" s="132">
        <f t="shared" si="9"/>
        <v>300000</v>
      </c>
      <c r="AD49" s="132">
        <f t="shared" si="10"/>
        <v>0</v>
      </c>
      <c r="AE49" s="132">
        <f t="shared" si="24"/>
        <v>600000</v>
      </c>
      <c r="AF49" s="132">
        <f t="shared" si="14"/>
        <v>1200000</v>
      </c>
      <c r="AG49" s="132">
        <f t="shared" si="11"/>
        <v>8920612.9807692301</v>
      </c>
      <c r="AH49" s="132"/>
      <c r="AI49" s="132">
        <f t="shared" si="12"/>
        <v>0</v>
      </c>
      <c r="AJ49" s="132"/>
      <c r="AK49" s="132"/>
      <c r="AL49" s="132"/>
      <c r="AM49" s="132">
        <f t="shared" si="19"/>
        <v>0</v>
      </c>
      <c r="AN49" s="180">
        <f t="shared" si="20"/>
        <v>8920612.9807692301</v>
      </c>
    </row>
    <row r="50" spans="1:40" x14ac:dyDescent="0.25">
      <c r="A50" s="59">
        <v>40</v>
      </c>
      <c r="B50" s="72" t="s">
        <v>112</v>
      </c>
      <c r="C50" s="73" t="s">
        <v>113</v>
      </c>
      <c r="D50" s="72">
        <v>26</v>
      </c>
      <c r="E50" s="131">
        <f t="shared" si="21"/>
        <v>6000000</v>
      </c>
      <c r="F50" s="128">
        <v>4450000</v>
      </c>
      <c r="G50" s="128">
        <v>500000</v>
      </c>
      <c r="H50" s="128">
        <v>250000</v>
      </c>
      <c r="I50" s="126"/>
      <c r="J50" s="126"/>
      <c r="K50" s="126">
        <v>300000</v>
      </c>
      <c r="L50" s="126">
        <v>500000</v>
      </c>
      <c r="M50" s="127">
        <f>'BẢNG CHẤM CÔNG T3'!D50</f>
        <v>25</v>
      </c>
      <c r="N50" s="127">
        <f>'BẢNG CHẤM CÔNG T3'!E50</f>
        <v>88.5</v>
      </c>
      <c r="O50" s="127">
        <f>'BẢNG CHẤM CÔNG T3'!F50</f>
        <v>5</v>
      </c>
      <c r="P50" s="127">
        <f>'BẢNG CHẤM CÔNG T3'!G50</f>
        <v>0</v>
      </c>
      <c r="Q50" s="127">
        <f>'BẢNG CHẤM CÔNG T3'!H50</f>
        <v>31</v>
      </c>
      <c r="R50" s="127">
        <f>'BẢNG CHẤM CÔNG T3'!I50</f>
        <v>0</v>
      </c>
      <c r="S50" s="127">
        <f>'BẢNG CHẤM CÔNG T3'!J50</f>
        <v>1</v>
      </c>
      <c r="T50" s="127">
        <f>'BẢNG CHẤM CÔNG T3'!K50</f>
        <v>0</v>
      </c>
      <c r="U50" s="127">
        <f>'BẢNG CHẤM CÔNG T3'!L50</f>
        <v>0</v>
      </c>
      <c r="V50" s="127">
        <f>'BẢNG CHẤM CÔNG T3'!M50</f>
        <v>0</v>
      </c>
      <c r="W50" s="132">
        <f t="shared" si="22"/>
        <v>4278846.153846154</v>
      </c>
      <c r="X50" s="132">
        <f t="shared" si="4"/>
        <v>2840084.1346153845</v>
      </c>
      <c r="Y50" s="132">
        <f t="shared" si="17"/>
        <v>192548.07692307694</v>
      </c>
      <c r="Z50" s="132">
        <f t="shared" si="23"/>
        <v>1326442.3076923077</v>
      </c>
      <c r="AA50" s="132">
        <f t="shared" si="7"/>
        <v>480769.23076923075</v>
      </c>
      <c r="AB50" s="132">
        <f t="shared" si="18"/>
        <v>240384.61538461538</v>
      </c>
      <c r="AC50" s="132">
        <f t="shared" si="9"/>
        <v>0</v>
      </c>
      <c r="AD50" s="132">
        <f t="shared" si="10"/>
        <v>0</v>
      </c>
      <c r="AE50" s="132">
        <f t="shared" si="24"/>
        <v>288461.5384615385</v>
      </c>
      <c r="AF50" s="132">
        <f t="shared" si="14"/>
        <v>480769.23076923075</v>
      </c>
      <c r="AG50" s="197">
        <f t="shared" si="11"/>
        <v>10128305.288461536</v>
      </c>
      <c r="AH50" s="132">
        <v>1550793.2692307692</v>
      </c>
      <c r="AI50" s="132">
        <f t="shared" si="12"/>
        <v>0</v>
      </c>
      <c r="AJ50" s="132"/>
      <c r="AK50" s="132"/>
      <c r="AL50" s="132"/>
      <c r="AM50" s="132">
        <f t="shared" si="19"/>
        <v>0</v>
      </c>
      <c r="AN50" s="180">
        <f>AG50-AM50+AH50</f>
        <v>11679098.557692306</v>
      </c>
    </row>
    <row r="51" spans="1:40" hidden="1" x14ac:dyDescent="0.25">
      <c r="A51" s="59">
        <v>41</v>
      </c>
      <c r="B51" s="72" t="s">
        <v>114</v>
      </c>
      <c r="C51" s="73" t="s">
        <v>115</v>
      </c>
      <c r="D51" s="72">
        <v>26</v>
      </c>
      <c r="E51" s="131">
        <f t="shared" si="21"/>
        <v>6000000</v>
      </c>
      <c r="F51" s="128">
        <v>4450000</v>
      </c>
      <c r="G51" s="128">
        <v>500000</v>
      </c>
      <c r="H51" s="128">
        <v>250000</v>
      </c>
      <c r="I51" s="126"/>
      <c r="J51" s="126"/>
      <c r="K51" s="126">
        <v>300000</v>
      </c>
      <c r="L51" s="126">
        <v>500000</v>
      </c>
      <c r="M51" s="127">
        <f>'BẢNG CHẤM CÔNG T3'!D51</f>
        <v>26</v>
      </c>
      <c r="N51" s="127">
        <f>'BẢNG CHẤM CÔNG T3'!E51</f>
        <v>80</v>
      </c>
      <c r="O51" s="127">
        <f>'BẢNG CHẤM CÔNG T3'!F51</f>
        <v>4.5</v>
      </c>
      <c r="P51" s="127">
        <f>'BẢNG CHẤM CÔNG T3'!G51</f>
        <v>0</v>
      </c>
      <c r="Q51" s="127">
        <f>'BẢNG CHẤM CÔNG T3'!H51</f>
        <v>21.5</v>
      </c>
      <c r="R51" s="127">
        <f>'BẢNG CHẤM CÔNG T3'!I51</f>
        <v>0</v>
      </c>
      <c r="S51" s="127">
        <f>'BẢNG CHẤM CÔNG T3'!J51</f>
        <v>0</v>
      </c>
      <c r="T51" s="127">
        <f>'BẢNG CHẤM CÔNG T3'!K51</f>
        <v>0</v>
      </c>
      <c r="U51" s="127">
        <f>'BẢNG CHẤM CÔNG T3'!L51</f>
        <v>0</v>
      </c>
      <c r="V51" s="127">
        <f>'BẢNG CHẤM CÔNG T3'!M51</f>
        <v>0</v>
      </c>
      <c r="W51" s="132">
        <f t="shared" si="22"/>
        <v>4450000</v>
      </c>
      <c r="X51" s="132">
        <f t="shared" si="4"/>
        <v>2567307.692307692</v>
      </c>
      <c r="Y51" s="132">
        <f t="shared" si="17"/>
        <v>173293.26923076925</v>
      </c>
      <c r="Z51" s="132">
        <f t="shared" si="23"/>
        <v>919951.92307692312</v>
      </c>
      <c r="AA51" s="132">
        <f t="shared" si="7"/>
        <v>500000</v>
      </c>
      <c r="AB51" s="132">
        <f t="shared" si="18"/>
        <v>250000</v>
      </c>
      <c r="AC51" s="132">
        <f t="shared" si="9"/>
        <v>0</v>
      </c>
      <c r="AD51" s="132">
        <f t="shared" si="10"/>
        <v>0</v>
      </c>
      <c r="AE51" s="132">
        <f t="shared" si="24"/>
        <v>300000</v>
      </c>
      <c r="AF51" s="132">
        <f t="shared" si="14"/>
        <v>500000</v>
      </c>
      <c r="AG51" s="132">
        <f t="shared" si="11"/>
        <v>9660552.884615384</v>
      </c>
      <c r="AH51" s="132"/>
      <c r="AI51" s="132">
        <f t="shared" si="12"/>
        <v>0</v>
      </c>
      <c r="AJ51" s="132"/>
      <c r="AK51" s="132"/>
      <c r="AL51" s="132"/>
      <c r="AM51" s="132">
        <f t="shared" si="19"/>
        <v>0</v>
      </c>
      <c r="AN51" s="180">
        <f t="shared" si="20"/>
        <v>9660552.884615384</v>
      </c>
    </row>
    <row r="52" spans="1:40" hidden="1" x14ac:dyDescent="0.25">
      <c r="A52" s="59">
        <v>42</v>
      </c>
      <c r="B52" s="72" t="s">
        <v>116</v>
      </c>
      <c r="C52" s="73" t="s">
        <v>117</v>
      </c>
      <c r="D52" s="72">
        <v>26</v>
      </c>
      <c r="E52" s="131">
        <f t="shared" si="21"/>
        <v>6000000</v>
      </c>
      <c r="F52" s="128">
        <v>4450000</v>
      </c>
      <c r="G52" s="128">
        <v>500000</v>
      </c>
      <c r="H52" s="128">
        <v>250000</v>
      </c>
      <c r="I52" s="126"/>
      <c r="J52" s="126"/>
      <c r="K52" s="126">
        <v>300000</v>
      </c>
      <c r="L52" s="126">
        <v>500000</v>
      </c>
      <c r="M52" s="127">
        <f>'BẢNG CHẤM CÔNG T3'!D52</f>
        <v>25</v>
      </c>
      <c r="N52" s="127">
        <f>'BẢNG CHẤM CÔNG T3'!E52</f>
        <v>67.5</v>
      </c>
      <c r="O52" s="127">
        <f>'BẢNG CHẤM CÔNG T3'!F52</f>
        <v>0.5</v>
      </c>
      <c r="P52" s="127">
        <f>'BẢNG CHẤM CÔNG T3'!G52</f>
        <v>0</v>
      </c>
      <c r="Q52" s="127">
        <f>'BẢNG CHẤM CÔNG T3'!H52</f>
        <v>28</v>
      </c>
      <c r="R52" s="127">
        <f>'BẢNG CHẤM CÔNG T3'!I52</f>
        <v>0</v>
      </c>
      <c r="S52" s="127">
        <f>'BẢNG CHẤM CÔNG T3'!J52</f>
        <v>1</v>
      </c>
      <c r="T52" s="127">
        <f>'BẢNG CHẤM CÔNG T3'!K52</f>
        <v>0</v>
      </c>
      <c r="U52" s="127">
        <f>'BẢNG CHẤM CÔNG T3'!L52</f>
        <v>0</v>
      </c>
      <c r="V52" s="127">
        <f>'BẢNG CHẤM CÔNG T3'!M52</f>
        <v>0</v>
      </c>
      <c r="W52" s="132">
        <f t="shared" si="22"/>
        <v>4278846.153846154</v>
      </c>
      <c r="X52" s="132">
        <f t="shared" si="4"/>
        <v>2166165.8653846155</v>
      </c>
      <c r="Y52" s="132">
        <f t="shared" si="17"/>
        <v>19254.807692307691</v>
      </c>
      <c r="Z52" s="132">
        <f t="shared" si="23"/>
        <v>1198076.923076923</v>
      </c>
      <c r="AA52" s="132">
        <f t="shared" si="7"/>
        <v>480769.23076923075</v>
      </c>
      <c r="AB52" s="132">
        <f t="shared" si="18"/>
        <v>240384.61538461538</v>
      </c>
      <c r="AC52" s="132">
        <f t="shared" si="9"/>
        <v>0</v>
      </c>
      <c r="AD52" s="132">
        <f t="shared" si="10"/>
        <v>0</v>
      </c>
      <c r="AE52" s="132">
        <f t="shared" si="24"/>
        <v>288461.5384615385</v>
      </c>
      <c r="AF52" s="132">
        <f t="shared" si="14"/>
        <v>480769.23076923075</v>
      </c>
      <c r="AG52" s="132">
        <f t="shared" si="11"/>
        <v>9152728.365384616</v>
      </c>
      <c r="AH52" s="132"/>
      <c r="AI52" s="132">
        <f t="shared" si="12"/>
        <v>0</v>
      </c>
      <c r="AJ52" s="132"/>
      <c r="AK52" s="132"/>
      <c r="AL52" s="132"/>
      <c r="AM52" s="132">
        <f t="shared" si="19"/>
        <v>0</v>
      </c>
      <c r="AN52" s="180">
        <f t="shared" si="20"/>
        <v>9152728.365384616</v>
      </c>
    </row>
    <row r="53" spans="1:40" hidden="1" x14ac:dyDescent="0.25">
      <c r="A53" s="59">
        <v>43</v>
      </c>
      <c r="B53" s="72" t="s">
        <v>118</v>
      </c>
      <c r="C53" s="73" t="s">
        <v>119</v>
      </c>
      <c r="D53" s="72">
        <v>26</v>
      </c>
      <c r="E53" s="131">
        <f t="shared" si="21"/>
        <v>6000000</v>
      </c>
      <c r="F53" s="128">
        <v>4450000</v>
      </c>
      <c r="G53" s="128">
        <v>500000</v>
      </c>
      <c r="H53" s="128">
        <v>250000</v>
      </c>
      <c r="I53" s="126"/>
      <c r="J53" s="126"/>
      <c r="K53" s="126">
        <v>300000</v>
      </c>
      <c r="L53" s="126">
        <v>500000</v>
      </c>
      <c r="M53" s="127">
        <f>'BẢNG CHẤM CÔNG T3'!D53</f>
        <v>26</v>
      </c>
      <c r="N53" s="127">
        <f>'BẢNG CHẤM CÔNG T3'!E53</f>
        <v>72</v>
      </c>
      <c r="O53" s="127">
        <f>'BẢNG CHẤM CÔNG T3'!F53</f>
        <v>0.5</v>
      </c>
      <c r="P53" s="127">
        <f>'BẢNG CHẤM CÔNG T3'!G53</f>
        <v>0</v>
      </c>
      <c r="Q53" s="127">
        <f>'BẢNG CHẤM CÔNG T3'!H53</f>
        <v>29.5</v>
      </c>
      <c r="R53" s="127">
        <f>'BẢNG CHẤM CÔNG T3'!I53</f>
        <v>0</v>
      </c>
      <c r="S53" s="127">
        <f>'BẢNG CHẤM CÔNG T3'!J53</f>
        <v>0</v>
      </c>
      <c r="T53" s="127">
        <f>'BẢNG CHẤM CÔNG T3'!K53</f>
        <v>0</v>
      </c>
      <c r="U53" s="127">
        <f>'BẢNG CHẤM CÔNG T3'!L53</f>
        <v>0</v>
      </c>
      <c r="V53" s="127">
        <f>'BẢNG CHẤM CÔNG T3'!M53</f>
        <v>0</v>
      </c>
      <c r="W53" s="132">
        <f t="shared" si="22"/>
        <v>4450000</v>
      </c>
      <c r="X53" s="132">
        <f t="shared" si="4"/>
        <v>2310576.923076923</v>
      </c>
      <c r="Y53" s="132">
        <f t="shared" si="17"/>
        <v>19254.807692307691</v>
      </c>
      <c r="Z53" s="132">
        <f t="shared" si="23"/>
        <v>1262259.6153846155</v>
      </c>
      <c r="AA53" s="132">
        <f t="shared" si="7"/>
        <v>500000</v>
      </c>
      <c r="AB53" s="132">
        <f t="shared" si="18"/>
        <v>250000</v>
      </c>
      <c r="AC53" s="132">
        <f t="shared" si="9"/>
        <v>0</v>
      </c>
      <c r="AD53" s="132">
        <f t="shared" si="10"/>
        <v>0</v>
      </c>
      <c r="AE53" s="132">
        <f t="shared" si="24"/>
        <v>300000</v>
      </c>
      <c r="AF53" s="132">
        <f t="shared" si="14"/>
        <v>500000</v>
      </c>
      <c r="AG53" s="132">
        <f t="shared" si="11"/>
        <v>9592091.346153846</v>
      </c>
      <c r="AH53" s="132"/>
      <c r="AI53" s="132">
        <f t="shared" si="12"/>
        <v>0</v>
      </c>
      <c r="AJ53" s="132"/>
      <c r="AK53" s="132"/>
      <c r="AL53" s="132"/>
      <c r="AM53" s="132">
        <f t="shared" si="19"/>
        <v>0</v>
      </c>
      <c r="AN53" s="180">
        <f t="shared" si="20"/>
        <v>9592091.346153846</v>
      </c>
    </row>
    <row r="54" spans="1:40" hidden="1" x14ac:dyDescent="0.25">
      <c r="A54" s="59">
        <v>44</v>
      </c>
      <c r="B54" s="72" t="s">
        <v>120</v>
      </c>
      <c r="C54" s="73" t="s">
        <v>515</v>
      </c>
      <c r="D54" s="72">
        <v>26</v>
      </c>
      <c r="E54" s="131">
        <f t="shared" si="21"/>
        <v>6000000</v>
      </c>
      <c r="F54" s="128">
        <v>4450000</v>
      </c>
      <c r="G54" s="128">
        <v>500000</v>
      </c>
      <c r="H54" s="128">
        <v>250000</v>
      </c>
      <c r="I54" s="126"/>
      <c r="J54" s="126"/>
      <c r="K54" s="126">
        <v>300000</v>
      </c>
      <c r="L54" s="126">
        <v>500000</v>
      </c>
      <c r="M54" s="127">
        <f>'BẢNG CHẤM CÔNG T3'!D54</f>
        <v>26</v>
      </c>
      <c r="N54" s="127">
        <f>'BẢNG CHẤM CÔNG T3'!E54</f>
        <v>65.5</v>
      </c>
      <c r="O54" s="127">
        <f>'BẢNG CHẤM CÔNG T3'!F54</f>
        <v>0</v>
      </c>
      <c r="P54" s="127">
        <f>'BẢNG CHẤM CÔNG T3'!G54</f>
        <v>0</v>
      </c>
      <c r="Q54" s="127">
        <f>'BẢNG CHẤM CÔNG T3'!H54</f>
        <v>0</v>
      </c>
      <c r="R54" s="127">
        <f>'BẢNG CHẤM CÔNG T3'!I54</f>
        <v>0</v>
      </c>
      <c r="S54" s="127">
        <f>'BẢNG CHẤM CÔNG T3'!J54</f>
        <v>0</v>
      </c>
      <c r="T54" s="127">
        <f>'BẢNG CHẤM CÔNG T3'!K54</f>
        <v>0</v>
      </c>
      <c r="U54" s="127">
        <f>'BẢNG CHẤM CÔNG T3'!L54</f>
        <v>0</v>
      </c>
      <c r="V54" s="127">
        <f>'BẢNG CHẤM CÔNG T3'!M54</f>
        <v>0</v>
      </c>
      <c r="W54" s="132">
        <f t="shared" si="22"/>
        <v>4450000</v>
      </c>
      <c r="X54" s="132">
        <f t="shared" si="4"/>
        <v>2101983.173076923</v>
      </c>
      <c r="Y54" s="132">
        <f t="shared" si="17"/>
        <v>0</v>
      </c>
      <c r="Z54" s="132">
        <f t="shared" si="23"/>
        <v>0</v>
      </c>
      <c r="AA54" s="132">
        <f t="shared" si="7"/>
        <v>500000</v>
      </c>
      <c r="AB54" s="132">
        <f t="shared" si="18"/>
        <v>250000</v>
      </c>
      <c r="AC54" s="132">
        <f t="shared" si="9"/>
        <v>0</v>
      </c>
      <c r="AD54" s="132">
        <f t="shared" si="10"/>
        <v>0</v>
      </c>
      <c r="AE54" s="132">
        <f t="shared" si="24"/>
        <v>300000</v>
      </c>
      <c r="AF54" s="132">
        <f t="shared" si="14"/>
        <v>500000</v>
      </c>
      <c r="AG54" s="132">
        <f t="shared" si="11"/>
        <v>8101983.173076923</v>
      </c>
      <c r="AH54" s="132"/>
      <c r="AI54" s="132">
        <f t="shared" si="12"/>
        <v>0</v>
      </c>
      <c r="AJ54" s="132"/>
      <c r="AK54" s="132">
        <v>50000</v>
      </c>
      <c r="AL54" s="132"/>
      <c r="AM54" s="132">
        <f t="shared" si="19"/>
        <v>50000</v>
      </c>
      <c r="AN54" s="180">
        <f t="shared" si="20"/>
        <v>8051983.173076923</v>
      </c>
    </row>
    <row r="55" spans="1:40" s="120" customFormat="1" hidden="1" x14ac:dyDescent="0.25">
      <c r="A55" s="133">
        <v>45</v>
      </c>
      <c r="B55" s="134" t="s">
        <v>122</v>
      </c>
      <c r="C55" s="135" t="s">
        <v>123</v>
      </c>
      <c r="D55" s="134">
        <v>26</v>
      </c>
      <c r="E55" s="136">
        <f t="shared" si="21"/>
        <v>6000000</v>
      </c>
      <c r="F55" s="140">
        <v>4450000</v>
      </c>
      <c r="G55" s="140">
        <v>500000</v>
      </c>
      <c r="H55" s="140">
        <v>250000</v>
      </c>
      <c r="I55" s="137"/>
      <c r="J55" s="137"/>
      <c r="K55" s="137">
        <v>300000</v>
      </c>
      <c r="L55" s="137">
        <v>500000</v>
      </c>
      <c r="M55" s="138">
        <f>'BẢNG CHẤM CÔNG T3'!D55</f>
        <v>25</v>
      </c>
      <c r="N55" s="138">
        <f>'BẢNG CHẤM CÔNG T3'!E55</f>
        <v>64.5</v>
      </c>
      <c r="O55" s="138">
        <f>'BẢNG CHẤM CÔNG T3'!F55</f>
        <v>0</v>
      </c>
      <c r="P55" s="138">
        <f>'BẢNG CHẤM CÔNG T3'!G55</f>
        <v>0</v>
      </c>
      <c r="Q55" s="138">
        <f>'BẢNG CHẤM CÔNG T3'!H55</f>
        <v>5.5</v>
      </c>
      <c r="R55" s="138">
        <f>'BẢNG CHẤM CÔNG T3'!I55</f>
        <v>0</v>
      </c>
      <c r="S55" s="138">
        <f>'BẢNG CHẤM CÔNG T3'!J55</f>
        <v>1</v>
      </c>
      <c r="T55" s="138">
        <f>'BẢNG CHẤM CÔNG T3'!K55</f>
        <v>0</v>
      </c>
      <c r="U55" s="138">
        <f>'BẢNG CHẤM CÔNG T3'!L55</f>
        <v>0</v>
      </c>
      <c r="V55" s="138">
        <f>'BẢNG CHẤM CÔNG T3'!M55</f>
        <v>0</v>
      </c>
      <c r="W55" s="139">
        <f t="shared" si="22"/>
        <v>4278846.153846154</v>
      </c>
      <c r="X55" s="139">
        <f t="shared" si="4"/>
        <v>2069891.826923077</v>
      </c>
      <c r="Y55" s="139">
        <f t="shared" si="17"/>
        <v>0</v>
      </c>
      <c r="Z55" s="139">
        <f t="shared" si="23"/>
        <v>235336.53846153847</v>
      </c>
      <c r="AA55" s="139">
        <f t="shared" si="7"/>
        <v>480769.23076923075</v>
      </c>
      <c r="AB55" s="139">
        <f t="shared" si="18"/>
        <v>240384.61538461538</v>
      </c>
      <c r="AC55" s="139">
        <f t="shared" si="9"/>
        <v>0</v>
      </c>
      <c r="AD55" s="139">
        <f t="shared" si="10"/>
        <v>0</v>
      </c>
      <c r="AE55" s="139">
        <f t="shared" si="24"/>
        <v>288461.5384615385</v>
      </c>
      <c r="AF55" s="139">
        <f t="shared" si="14"/>
        <v>480769.23076923075</v>
      </c>
      <c r="AG55" s="139">
        <f t="shared" si="11"/>
        <v>8074459.134615385</v>
      </c>
      <c r="AH55" s="139">
        <v>1055588.942307692</v>
      </c>
      <c r="AI55" s="139">
        <f t="shared" si="12"/>
        <v>0</v>
      </c>
      <c r="AJ55" s="139"/>
      <c r="AK55" s="139">
        <v>150000</v>
      </c>
      <c r="AL55" s="139"/>
      <c r="AM55" s="139"/>
      <c r="AN55" s="180">
        <f>AG55-AM55+AH55</f>
        <v>9130048.0769230761</v>
      </c>
    </row>
    <row r="56" spans="1:40" hidden="1" x14ac:dyDescent="0.25">
      <c r="A56" s="59">
        <v>46</v>
      </c>
      <c r="B56" s="72" t="s">
        <v>124</v>
      </c>
      <c r="C56" s="73" t="s">
        <v>125</v>
      </c>
      <c r="D56" s="72">
        <v>26</v>
      </c>
      <c r="E56" s="131">
        <f t="shared" si="21"/>
        <v>6000000</v>
      </c>
      <c r="F56" s="128">
        <v>4450000</v>
      </c>
      <c r="G56" s="128">
        <v>500000</v>
      </c>
      <c r="H56" s="128">
        <v>250000</v>
      </c>
      <c r="I56" s="126"/>
      <c r="J56" s="126"/>
      <c r="K56" s="126">
        <v>300000</v>
      </c>
      <c r="L56" s="126">
        <v>500000</v>
      </c>
      <c r="M56" s="127">
        <f>'BẢNG CHẤM CÔNG T3'!D56</f>
        <v>25</v>
      </c>
      <c r="N56" s="127">
        <f>'BẢNG CHẤM CÔNG T3'!E56</f>
        <v>5</v>
      </c>
      <c r="O56" s="127">
        <f>'BẢNG CHẤM CÔNG T3'!F56</f>
        <v>0</v>
      </c>
      <c r="P56" s="127">
        <f>'BẢNG CHẤM CÔNG T3'!G56</f>
        <v>0</v>
      </c>
      <c r="Q56" s="127">
        <f>'BẢNG CHẤM CÔNG T3'!H56</f>
        <v>0</v>
      </c>
      <c r="R56" s="127">
        <f>'BẢNG CHẤM CÔNG T3'!I56</f>
        <v>0</v>
      </c>
      <c r="S56" s="127">
        <f>'BẢNG CHẤM CÔNG T3'!J56</f>
        <v>0</v>
      </c>
      <c r="T56" s="127">
        <f>'BẢNG CHẤM CÔNG T3'!K56</f>
        <v>0</v>
      </c>
      <c r="U56" s="127">
        <f>'BẢNG CHẤM CÔNG T3'!L56</f>
        <v>0</v>
      </c>
      <c r="V56" s="127">
        <f>'BẢNG CHẤM CÔNG T3'!M56</f>
        <v>0</v>
      </c>
      <c r="W56" s="132">
        <f t="shared" si="22"/>
        <v>4278846.153846154</v>
      </c>
      <c r="X56" s="132">
        <f t="shared" si="4"/>
        <v>160456.73076923075</v>
      </c>
      <c r="Y56" s="132">
        <f t="shared" si="17"/>
        <v>0</v>
      </c>
      <c r="Z56" s="132">
        <f t="shared" si="23"/>
        <v>0</v>
      </c>
      <c r="AA56" s="132">
        <f t="shared" si="7"/>
        <v>480769.23076923075</v>
      </c>
      <c r="AB56" s="132">
        <f t="shared" si="18"/>
        <v>240384.61538461538</v>
      </c>
      <c r="AC56" s="132">
        <f t="shared" si="9"/>
        <v>0</v>
      </c>
      <c r="AD56" s="132">
        <f t="shared" si="10"/>
        <v>0</v>
      </c>
      <c r="AE56" s="132">
        <f t="shared" si="24"/>
        <v>288461.5384615385</v>
      </c>
      <c r="AF56" s="132">
        <f t="shared" si="14"/>
        <v>480769.23076923075</v>
      </c>
      <c r="AG56" s="132">
        <f t="shared" si="11"/>
        <v>5929687.5000000009</v>
      </c>
      <c r="AH56" s="132"/>
      <c r="AI56" s="132">
        <f t="shared" si="12"/>
        <v>0</v>
      </c>
      <c r="AJ56" s="132"/>
      <c r="AK56" s="132"/>
      <c r="AL56" s="132"/>
      <c r="AM56" s="132">
        <f t="shared" si="19"/>
        <v>0</v>
      </c>
      <c r="AN56" s="183">
        <f t="shared" si="20"/>
        <v>5929687.5000000009</v>
      </c>
    </row>
    <row r="57" spans="1:40" hidden="1" x14ac:dyDescent="0.25">
      <c r="A57" s="59">
        <v>47</v>
      </c>
      <c r="B57" s="72" t="s">
        <v>126</v>
      </c>
      <c r="C57" s="73" t="s">
        <v>127</v>
      </c>
      <c r="D57" s="72">
        <v>26</v>
      </c>
      <c r="E57" s="131">
        <f t="shared" si="21"/>
        <v>6300000</v>
      </c>
      <c r="F57" s="128">
        <v>4450000</v>
      </c>
      <c r="G57" s="128">
        <v>500000</v>
      </c>
      <c r="H57" s="128">
        <v>250000</v>
      </c>
      <c r="I57" s="126"/>
      <c r="J57" s="126">
        <v>300000</v>
      </c>
      <c r="K57" s="126">
        <v>300000</v>
      </c>
      <c r="L57" s="126">
        <v>500000</v>
      </c>
      <c r="M57" s="127">
        <f>'BẢNG CHẤM CÔNG T3'!D57</f>
        <v>25</v>
      </c>
      <c r="N57" s="127">
        <f>'BẢNG CHẤM CÔNG T3'!E57</f>
        <v>83.5</v>
      </c>
      <c r="O57" s="127">
        <f>'BẢNG CHẤM CÔNG T3'!F57</f>
        <v>3</v>
      </c>
      <c r="P57" s="127">
        <f>'BẢNG CHẤM CÔNG T3'!G57</f>
        <v>2</v>
      </c>
      <c r="Q57" s="127">
        <f>'BẢNG CHẤM CÔNG T3'!H57</f>
        <v>17</v>
      </c>
      <c r="R57" s="127">
        <f>'BẢNG CHẤM CÔNG T3'!I57</f>
        <v>0</v>
      </c>
      <c r="S57" s="127">
        <f>'BẢNG CHẤM CÔNG T3'!J57</f>
        <v>1</v>
      </c>
      <c r="T57" s="127">
        <f>'BẢNG CHẤM CÔNG T3'!K57</f>
        <v>0</v>
      </c>
      <c r="U57" s="127">
        <f>'BẢNG CHẤM CÔNG T3'!L57</f>
        <v>0</v>
      </c>
      <c r="V57" s="127">
        <f>'BẢNG CHẤM CÔNG T3'!M57</f>
        <v>0</v>
      </c>
      <c r="W57" s="132">
        <f t="shared" si="22"/>
        <v>4278846.153846154</v>
      </c>
      <c r="X57" s="132">
        <f t="shared" si="4"/>
        <v>2679627.403846154</v>
      </c>
      <c r="Y57" s="132">
        <f t="shared" si="17"/>
        <v>115528.84615384617</v>
      </c>
      <c r="Z57" s="132">
        <f t="shared" si="23"/>
        <v>727403.84615384613</v>
      </c>
      <c r="AA57" s="132">
        <f t="shared" si="7"/>
        <v>480769.23076923075</v>
      </c>
      <c r="AB57" s="132">
        <f t="shared" si="18"/>
        <v>240384.61538461538</v>
      </c>
      <c r="AC57" s="132">
        <f t="shared" si="9"/>
        <v>0</v>
      </c>
      <c r="AD57" s="132">
        <f t="shared" si="10"/>
        <v>288461.5384615385</v>
      </c>
      <c r="AE57" s="132">
        <f t="shared" si="24"/>
        <v>288461.5384615385</v>
      </c>
      <c r="AF57" s="132">
        <f t="shared" si="14"/>
        <v>480769.23076923075</v>
      </c>
      <c r="AG57" s="132">
        <f t="shared" si="11"/>
        <v>9580252.4038461521</v>
      </c>
      <c r="AH57" s="132"/>
      <c r="AI57" s="132">
        <f t="shared" si="12"/>
        <v>42788.461538461539</v>
      </c>
      <c r="AJ57" s="132"/>
      <c r="AK57" s="132"/>
      <c r="AL57" s="132"/>
      <c r="AM57" s="132">
        <f t="shared" si="19"/>
        <v>42788.461538461539</v>
      </c>
      <c r="AN57" s="183">
        <f t="shared" si="20"/>
        <v>9537463.9423076902</v>
      </c>
    </row>
    <row r="58" spans="1:40" hidden="1" x14ac:dyDescent="0.25">
      <c r="A58" s="59">
        <v>48</v>
      </c>
      <c r="B58" s="72" t="s">
        <v>476</v>
      </c>
      <c r="C58" s="73" t="s">
        <v>477</v>
      </c>
      <c r="D58" s="72">
        <v>26</v>
      </c>
      <c r="E58" s="131">
        <f t="shared" si="21"/>
        <v>6000000</v>
      </c>
      <c r="F58" s="128">
        <v>4450000</v>
      </c>
      <c r="G58" s="128">
        <v>500000</v>
      </c>
      <c r="H58" s="128">
        <v>250000</v>
      </c>
      <c r="I58" s="126"/>
      <c r="J58" s="126"/>
      <c r="K58" s="126">
        <v>300000</v>
      </c>
      <c r="L58" s="126">
        <v>500000</v>
      </c>
      <c r="M58" s="127">
        <f>'BẢNG CHẤM CÔNG T3'!D58</f>
        <v>17</v>
      </c>
      <c r="N58" s="127">
        <f>'BẢNG CHẤM CÔNG T3'!E58</f>
        <v>50.5</v>
      </c>
      <c r="O58" s="127">
        <f>'BẢNG CHẤM CÔNG T3'!F58</f>
        <v>1</v>
      </c>
      <c r="P58" s="127">
        <f>'BẢNG CHẤM CÔNG T3'!G58</f>
        <v>0</v>
      </c>
      <c r="Q58" s="127">
        <f>'BẢNG CHẤM CÔNG T3'!H58</f>
        <v>17</v>
      </c>
      <c r="R58" s="127">
        <f>'BẢNG CHẤM CÔNG T3'!I58</f>
        <v>0</v>
      </c>
      <c r="S58" s="127">
        <f>'BẢNG CHẤM CÔNG T3'!J58</f>
        <v>0</v>
      </c>
      <c r="T58" s="127">
        <f>'BẢNG CHẤM CÔNG T3'!K58</f>
        <v>0</v>
      </c>
      <c r="U58" s="127">
        <f>'BẢNG CHẤM CÔNG T3'!L58</f>
        <v>0</v>
      </c>
      <c r="V58" s="127">
        <f>'BẢNG CHẤM CÔNG T3'!M58</f>
        <v>0</v>
      </c>
      <c r="W58" s="132">
        <f t="shared" si="22"/>
        <v>2909615.3846153845</v>
      </c>
      <c r="X58" s="132">
        <f t="shared" si="4"/>
        <v>1620612.9807692305</v>
      </c>
      <c r="Y58" s="132">
        <f t="shared" si="17"/>
        <v>38509.615384615383</v>
      </c>
      <c r="Z58" s="132">
        <f t="shared" si="23"/>
        <v>727403.84615384613</v>
      </c>
      <c r="AA58" s="132">
        <f t="shared" si="7"/>
        <v>326923.07692307694</v>
      </c>
      <c r="AB58" s="132">
        <f t="shared" si="18"/>
        <v>163461.53846153847</v>
      </c>
      <c r="AC58" s="132">
        <f t="shared" si="9"/>
        <v>0</v>
      </c>
      <c r="AD58" s="132">
        <f t="shared" si="10"/>
        <v>0</v>
      </c>
      <c r="AE58" s="132">
        <f t="shared" si="24"/>
        <v>196153.84615384616</v>
      </c>
      <c r="AF58" s="132">
        <f t="shared" si="14"/>
        <v>326923.07692307694</v>
      </c>
      <c r="AG58" s="132">
        <f t="shared" si="11"/>
        <v>6309603.3653846141</v>
      </c>
      <c r="AH58" s="132"/>
      <c r="AI58" s="132">
        <f t="shared" si="12"/>
        <v>0</v>
      </c>
      <c r="AJ58" s="132"/>
      <c r="AK58" s="132"/>
      <c r="AL58" s="132"/>
      <c r="AM58" s="132">
        <f t="shared" si="19"/>
        <v>0</v>
      </c>
      <c r="AN58" s="183">
        <f t="shared" si="20"/>
        <v>6309603.3653846141</v>
      </c>
    </row>
    <row r="59" spans="1:40" hidden="1" x14ac:dyDescent="0.25">
      <c r="A59" s="59">
        <v>49</v>
      </c>
      <c r="B59" s="72" t="s">
        <v>128</v>
      </c>
      <c r="C59" s="73" t="s">
        <v>129</v>
      </c>
      <c r="D59" s="72">
        <v>26</v>
      </c>
      <c r="E59" s="131">
        <f t="shared" si="21"/>
        <v>6000000</v>
      </c>
      <c r="F59" s="128">
        <v>4450000</v>
      </c>
      <c r="G59" s="128">
        <v>500000</v>
      </c>
      <c r="H59" s="128">
        <v>250000</v>
      </c>
      <c r="I59" s="126"/>
      <c r="J59" s="126"/>
      <c r="K59" s="126">
        <v>300000</v>
      </c>
      <c r="L59" s="126">
        <v>500000</v>
      </c>
      <c r="M59" s="127">
        <f>'BẢNG CHẤM CÔNG T3'!D59</f>
        <v>22</v>
      </c>
      <c r="N59" s="127">
        <f>'BẢNG CHẤM CÔNG T3'!E59</f>
        <v>49.5</v>
      </c>
      <c r="O59" s="127">
        <f>'BẢNG CHẤM CÔNG T3'!F59</f>
        <v>0</v>
      </c>
      <c r="P59" s="127">
        <f>'BẢNG CHẤM CÔNG T3'!G59</f>
        <v>2</v>
      </c>
      <c r="Q59" s="127">
        <f>'BẢNG CHẤM CÔNG T3'!H59</f>
        <v>0</v>
      </c>
      <c r="R59" s="127">
        <f>'BẢNG CHẤM CÔNG T3'!I59</f>
        <v>0</v>
      </c>
      <c r="S59" s="127">
        <f>'BẢNG CHẤM CÔNG T3'!J59</f>
        <v>1</v>
      </c>
      <c r="T59" s="127">
        <f>'BẢNG CHẤM CÔNG T3'!K59</f>
        <v>0</v>
      </c>
      <c r="U59" s="127">
        <f>'BẢNG CHẤM CÔNG T3'!L59</f>
        <v>0</v>
      </c>
      <c r="V59" s="127">
        <f>'BẢNG CHẤM CÔNG T3'!M59</f>
        <v>0</v>
      </c>
      <c r="W59" s="132">
        <f t="shared" si="22"/>
        <v>3765384.6153846155</v>
      </c>
      <c r="X59" s="132">
        <f t="shared" si="4"/>
        <v>1588521.6346153845</v>
      </c>
      <c r="Y59" s="132">
        <f t="shared" si="17"/>
        <v>0</v>
      </c>
      <c r="Z59" s="132">
        <f t="shared" si="23"/>
        <v>0</v>
      </c>
      <c r="AA59" s="132">
        <f t="shared" si="7"/>
        <v>423076.92307692306</v>
      </c>
      <c r="AB59" s="132">
        <f t="shared" si="18"/>
        <v>211538.46153846153</v>
      </c>
      <c r="AC59" s="132">
        <f t="shared" si="9"/>
        <v>0</v>
      </c>
      <c r="AD59" s="132">
        <f t="shared" si="10"/>
        <v>0</v>
      </c>
      <c r="AE59" s="132">
        <f t="shared" si="24"/>
        <v>253846.15384615387</v>
      </c>
      <c r="AF59" s="132">
        <f t="shared" si="14"/>
        <v>423076.92307692306</v>
      </c>
      <c r="AG59" s="132">
        <f t="shared" si="11"/>
        <v>6665444.711538462</v>
      </c>
      <c r="AH59" s="132"/>
      <c r="AI59" s="132">
        <f t="shared" si="12"/>
        <v>42788.461538461539</v>
      </c>
      <c r="AJ59" s="132"/>
      <c r="AK59" s="132"/>
      <c r="AL59" s="132"/>
      <c r="AM59" s="132">
        <f t="shared" si="19"/>
        <v>42788.461538461539</v>
      </c>
      <c r="AN59" s="183">
        <f t="shared" si="20"/>
        <v>6622656.25</v>
      </c>
    </row>
    <row r="60" spans="1:40" hidden="1" x14ac:dyDescent="0.25">
      <c r="A60" s="59">
        <v>50</v>
      </c>
      <c r="B60" s="72" t="s">
        <v>130</v>
      </c>
      <c r="C60" s="73" t="s">
        <v>131</v>
      </c>
      <c r="D60" s="72">
        <v>26</v>
      </c>
      <c r="E60" s="131">
        <f t="shared" si="21"/>
        <v>6000000</v>
      </c>
      <c r="F60" s="128">
        <v>4450000</v>
      </c>
      <c r="G60" s="128">
        <v>500000</v>
      </c>
      <c r="H60" s="128">
        <v>250000</v>
      </c>
      <c r="I60" s="126"/>
      <c r="J60" s="126"/>
      <c r="K60" s="126">
        <v>300000</v>
      </c>
      <c r="L60" s="126">
        <v>500000</v>
      </c>
      <c r="M60" s="127">
        <f>'BẢNG CHẤM CÔNG T3'!D60</f>
        <v>23</v>
      </c>
      <c r="N60" s="127">
        <f>'BẢNG CHẤM CÔNG T3'!E60</f>
        <v>87.5</v>
      </c>
      <c r="O60" s="127">
        <f>'BẢNG CHẤM CÔNG T3'!F60</f>
        <v>3.5</v>
      </c>
      <c r="P60" s="127">
        <f>'BẢNG CHẤM CÔNG T3'!G60</f>
        <v>0</v>
      </c>
      <c r="Q60" s="127">
        <f>'BẢNG CHẤM CÔNG T3'!H60</f>
        <v>32</v>
      </c>
      <c r="R60" s="127">
        <f>'BẢNG CHẤM CÔNG T3'!I60</f>
        <v>0</v>
      </c>
      <c r="S60" s="127">
        <f>'BẢNG CHẤM CÔNG T3'!J60</f>
        <v>1</v>
      </c>
      <c r="T60" s="127">
        <f>'BẢNG CHẤM CÔNG T3'!K60</f>
        <v>0</v>
      </c>
      <c r="U60" s="127">
        <f>'BẢNG CHẤM CÔNG T3'!L60</f>
        <v>0</v>
      </c>
      <c r="V60" s="127">
        <f>'BẢNG CHẤM CÔNG T3'!M60</f>
        <v>0</v>
      </c>
      <c r="W60" s="132">
        <f t="shared" si="22"/>
        <v>3936538.4615384615</v>
      </c>
      <c r="X60" s="132">
        <f t="shared" si="4"/>
        <v>2807992.7884615385</v>
      </c>
      <c r="Y60" s="132">
        <f t="shared" si="17"/>
        <v>134783.65384615384</v>
      </c>
      <c r="Z60" s="132">
        <f t="shared" si="23"/>
        <v>1369230.7692307692</v>
      </c>
      <c r="AA60" s="132">
        <f t="shared" si="7"/>
        <v>442307.69230769231</v>
      </c>
      <c r="AB60" s="132">
        <f t="shared" si="18"/>
        <v>221153.84615384616</v>
      </c>
      <c r="AC60" s="132">
        <f t="shared" si="9"/>
        <v>0</v>
      </c>
      <c r="AD60" s="132">
        <f t="shared" si="10"/>
        <v>0</v>
      </c>
      <c r="AE60" s="132">
        <f t="shared" si="24"/>
        <v>265384.61538461538</v>
      </c>
      <c r="AF60" s="132">
        <f t="shared" si="14"/>
        <v>442307.69230769231</v>
      </c>
      <c r="AG60" s="132">
        <f t="shared" si="11"/>
        <v>9619699.5192307699</v>
      </c>
      <c r="AH60" s="132"/>
      <c r="AI60" s="132">
        <f t="shared" si="12"/>
        <v>0</v>
      </c>
      <c r="AJ60" s="132"/>
      <c r="AK60" s="132"/>
      <c r="AL60" s="132"/>
      <c r="AM60" s="132">
        <f t="shared" si="19"/>
        <v>0</v>
      </c>
      <c r="AN60" s="183">
        <f t="shared" si="20"/>
        <v>9619699.5192307699</v>
      </c>
    </row>
    <row r="61" spans="1:40" hidden="1" x14ac:dyDescent="0.25">
      <c r="A61" s="59">
        <v>51</v>
      </c>
      <c r="B61" s="72" t="s">
        <v>132</v>
      </c>
      <c r="C61" s="73" t="s">
        <v>133</v>
      </c>
      <c r="D61" s="72">
        <v>26</v>
      </c>
      <c r="E61" s="131">
        <f t="shared" si="21"/>
        <v>6000000</v>
      </c>
      <c r="F61" s="128">
        <v>4450000</v>
      </c>
      <c r="G61" s="128">
        <v>500000</v>
      </c>
      <c r="H61" s="128">
        <v>250000</v>
      </c>
      <c r="I61" s="126"/>
      <c r="J61" s="126"/>
      <c r="K61" s="126">
        <v>300000</v>
      </c>
      <c r="L61" s="126">
        <v>500000</v>
      </c>
      <c r="M61" s="127">
        <f>'BẢNG CHẤM CÔNG T3'!D61</f>
        <v>24</v>
      </c>
      <c r="N61" s="127">
        <f>'BẢNG CHẤM CÔNG T3'!E61</f>
        <v>82.5</v>
      </c>
      <c r="O61" s="127">
        <f>'BẢNG CHẤM CÔNG T3'!F61</f>
        <v>2.5</v>
      </c>
      <c r="P61" s="127">
        <f>'BẢNG CHẤM CÔNG T3'!G61</f>
        <v>2</v>
      </c>
      <c r="Q61" s="127">
        <f>'BẢNG CHẤM CÔNG T3'!H61</f>
        <v>32</v>
      </c>
      <c r="R61" s="127">
        <f>'BẢNG CHẤM CÔNG T3'!I61</f>
        <v>0</v>
      </c>
      <c r="S61" s="127">
        <f>'BẢNG CHẤM CÔNG T3'!J61</f>
        <v>0</v>
      </c>
      <c r="T61" s="127">
        <f>'BẢNG CHẤM CÔNG T3'!K61</f>
        <v>0</v>
      </c>
      <c r="U61" s="127">
        <f>'BẢNG CHẤM CÔNG T3'!L61</f>
        <v>0</v>
      </c>
      <c r="V61" s="127">
        <f>'BẢNG CHẤM CÔNG T3'!M61</f>
        <v>0</v>
      </c>
      <c r="W61" s="132">
        <f t="shared" si="22"/>
        <v>4107692.307692308</v>
      </c>
      <c r="X61" s="132">
        <f t="shared" si="4"/>
        <v>2647536.057692308</v>
      </c>
      <c r="Y61" s="132">
        <f t="shared" si="17"/>
        <v>96274.038461538468</v>
      </c>
      <c r="Z61" s="132">
        <f t="shared" si="23"/>
        <v>1369230.7692307692</v>
      </c>
      <c r="AA61" s="132">
        <f t="shared" si="7"/>
        <v>461538.4615384615</v>
      </c>
      <c r="AB61" s="132">
        <f t="shared" si="18"/>
        <v>230769.23076923075</v>
      </c>
      <c r="AC61" s="132">
        <f t="shared" si="9"/>
        <v>0</v>
      </c>
      <c r="AD61" s="132">
        <f t="shared" si="10"/>
        <v>0</v>
      </c>
      <c r="AE61" s="132">
        <f t="shared" si="24"/>
        <v>276923.07692307694</v>
      </c>
      <c r="AF61" s="132">
        <f t="shared" si="14"/>
        <v>461538.4615384615</v>
      </c>
      <c r="AG61" s="132">
        <f t="shared" si="11"/>
        <v>9651502.4038461521</v>
      </c>
      <c r="AH61" s="132"/>
      <c r="AI61" s="132">
        <f t="shared" si="12"/>
        <v>42788.461538461539</v>
      </c>
      <c r="AJ61" s="132"/>
      <c r="AK61" s="132"/>
      <c r="AL61" s="132"/>
      <c r="AM61" s="132">
        <f t="shared" si="19"/>
        <v>42788.461538461539</v>
      </c>
      <c r="AN61" s="180">
        <f t="shared" si="20"/>
        <v>9608713.9423076902</v>
      </c>
    </row>
    <row r="62" spans="1:40" hidden="1" x14ac:dyDescent="0.25">
      <c r="A62" s="59">
        <v>52</v>
      </c>
      <c r="B62" s="72" t="s">
        <v>134</v>
      </c>
      <c r="C62" s="73" t="s">
        <v>135</v>
      </c>
      <c r="D62" s="72">
        <v>26</v>
      </c>
      <c r="E62" s="131">
        <f t="shared" si="21"/>
        <v>6000000</v>
      </c>
      <c r="F62" s="128">
        <v>4450000</v>
      </c>
      <c r="G62" s="128">
        <v>500000</v>
      </c>
      <c r="H62" s="128">
        <v>250000</v>
      </c>
      <c r="I62" s="126"/>
      <c r="J62" s="126"/>
      <c r="K62" s="126">
        <v>300000</v>
      </c>
      <c r="L62" s="126">
        <v>500000</v>
      </c>
      <c r="M62" s="127">
        <f>'BẢNG CHẤM CÔNG T3'!D62</f>
        <v>22</v>
      </c>
      <c r="N62" s="127">
        <f>'BẢNG CHẤM CÔNG T3'!E62</f>
        <v>80</v>
      </c>
      <c r="O62" s="127">
        <f>'BẢNG CHẤM CÔNG T3'!F62</f>
        <v>3</v>
      </c>
      <c r="P62" s="127">
        <f>'BẢNG CHẤM CÔNG T3'!G62</f>
        <v>0</v>
      </c>
      <c r="Q62" s="127">
        <f>'BẢNG CHẤM CÔNG T3'!H62</f>
        <v>25.5</v>
      </c>
      <c r="R62" s="127">
        <f>'BẢNG CHẤM CÔNG T3'!I62</f>
        <v>0</v>
      </c>
      <c r="S62" s="127">
        <f>'BẢNG CHẤM CÔNG T3'!J62</f>
        <v>0</v>
      </c>
      <c r="T62" s="127">
        <f>'BẢNG CHẤM CÔNG T3'!K62</f>
        <v>0</v>
      </c>
      <c r="U62" s="127">
        <f>'BẢNG CHẤM CÔNG T3'!L62</f>
        <v>0</v>
      </c>
      <c r="V62" s="127">
        <f>'BẢNG CHẤM CÔNG T3'!M62</f>
        <v>0</v>
      </c>
      <c r="W62" s="132">
        <f t="shared" si="22"/>
        <v>3765384.6153846155</v>
      </c>
      <c r="X62" s="132">
        <f t="shared" si="4"/>
        <v>2567307.692307692</v>
      </c>
      <c r="Y62" s="132">
        <f t="shared" si="17"/>
        <v>115528.84615384617</v>
      </c>
      <c r="Z62" s="132">
        <f t="shared" si="23"/>
        <v>1091105.7692307692</v>
      </c>
      <c r="AA62" s="132">
        <f t="shared" si="7"/>
        <v>423076.92307692306</v>
      </c>
      <c r="AB62" s="132">
        <f t="shared" si="18"/>
        <v>211538.46153846153</v>
      </c>
      <c r="AC62" s="132">
        <f t="shared" si="9"/>
        <v>0</v>
      </c>
      <c r="AD62" s="132">
        <f t="shared" si="10"/>
        <v>0</v>
      </c>
      <c r="AE62" s="132">
        <f t="shared" si="24"/>
        <v>253846.15384615387</v>
      </c>
      <c r="AF62" s="132">
        <f t="shared" si="14"/>
        <v>423076.92307692306</v>
      </c>
      <c r="AG62" s="132">
        <f t="shared" si="11"/>
        <v>8850865.3846153859</v>
      </c>
      <c r="AH62" s="132"/>
      <c r="AI62" s="132">
        <f t="shared" si="12"/>
        <v>0</v>
      </c>
      <c r="AJ62" s="132"/>
      <c r="AK62" s="132"/>
      <c r="AL62" s="132"/>
      <c r="AM62" s="132">
        <f t="shared" si="19"/>
        <v>0</v>
      </c>
      <c r="AN62" s="183">
        <f t="shared" si="20"/>
        <v>8850865.3846153859</v>
      </c>
    </row>
    <row r="63" spans="1:40" hidden="1" x14ac:dyDescent="0.25">
      <c r="A63" s="59">
        <v>53</v>
      </c>
      <c r="B63" s="72" t="s">
        <v>156</v>
      </c>
      <c r="C63" s="73" t="s">
        <v>157</v>
      </c>
      <c r="D63" s="72">
        <v>26</v>
      </c>
      <c r="E63" s="131">
        <f t="shared" si="21"/>
        <v>6000000</v>
      </c>
      <c r="F63" s="128">
        <v>4450000</v>
      </c>
      <c r="G63" s="128">
        <v>500000</v>
      </c>
      <c r="H63" s="128">
        <v>250000</v>
      </c>
      <c r="I63" s="126"/>
      <c r="J63" s="126"/>
      <c r="K63" s="126">
        <v>300000</v>
      </c>
      <c r="L63" s="126">
        <v>500000</v>
      </c>
      <c r="M63" s="127">
        <f>'BẢNG CHẤM CÔNG T3'!D63</f>
        <v>21</v>
      </c>
      <c r="N63" s="127">
        <f>'BẢNG CHẤM CÔNG T3'!E63</f>
        <v>78.5</v>
      </c>
      <c r="O63" s="127">
        <f>'BẢNG CHẤM CÔNG T3'!F63</f>
        <v>3.5</v>
      </c>
      <c r="P63" s="127">
        <f>'BẢNG CHẤM CÔNG T3'!G63</f>
        <v>0</v>
      </c>
      <c r="Q63" s="127">
        <f>'BẢNG CHẤM CÔNG T3'!H63</f>
        <v>35.5</v>
      </c>
      <c r="R63" s="127">
        <f>'BẢNG CHẤM CÔNG T3'!I63</f>
        <v>0</v>
      </c>
      <c r="S63" s="127">
        <f>'BẢNG CHẤM CÔNG T3'!J63</f>
        <v>0</v>
      </c>
      <c r="T63" s="127">
        <f>'BẢNG CHẤM CÔNG T3'!K63</f>
        <v>0</v>
      </c>
      <c r="U63" s="127">
        <f>'BẢNG CHẤM CÔNG T3'!L63</f>
        <v>0</v>
      </c>
      <c r="V63" s="127">
        <f>'BẢNG CHẤM CÔNG T3'!M63</f>
        <v>0</v>
      </c>
      <c r="W63" s="132">
        <f t="shared" si="22"/>
        <v>3594230.7692307695</v>
      </c>
      <c r="X63" s="132">
        <f t="shared" si="4"/>
        <v>2519170.673076923</v>
      </c>
      <c r="Y63" s="132">
        <f t="shared" si="17"/>
        <v>134783.65384615384</v>
      </c>
      <c r="Z63" s="132">
        <f t="shared" si="23"/>
        <v>1518990.3846153847</v>
      </c>
      <c r="AA63" s="132">
        <f t="shared" si="7"/>
        <v>403846.15384615381</v>
      </c>
      <c r="AB63" s="132">
        <f t="shared" si="18"/>
        <v>201923.07692307691</v>
      </c>
      <c r="AC63" s="132">
        <f t="shared" si="9"/>
        <v>0</v>
      </c>
      <c r="AD63" s="132">
        <f t="shared" si="10"/>
        <v>0</v>
      </c>
      <c r="AE63" s="132">
        <f t="shared" si="24"/>
        <v>242307.69230769231</v>
      </c>
      <c r="AF63" s="132">
        <f t="shared" si="14"/>
        <v>403846.15384615381</v>
      </c>
      <c r="AG63" s="132">
        <f t="shared" si="11"/>
        <v>9019098.557692308</v>
      </c>
      <c r="AH63" s="132"/>
      <c r="AI63" s="132">
        <f t="shared" si="12"/>
        <v>0</v>
      </c>
      <c r="AJ63" s="132"/>
      <c r="AK63" s="132"/>
      <c r="AL63" s="132"/>
      <c r="AM63" s="132">
        <f t="shared" si="19"/>
        <v>0</v>
      </c>
      <c r="AN63" s="180">
        <f t="shared" si="20"/>
        <v>9019098.557692308</v>
      </c>
    </row>
    <row r="64" spans="1:40" hidden="1" x14ac:dyDescent="0.25">
      <c r="A64" s="59">
        <v>54</v>
      </c>
      <c r="B64" s="72" t="s">
        <v>152</v>
      </c>
      <c r="C64" s="73" t="s">
        <v>153</v>
      </c>
      <c r="D64" s="72">
        <v>26</v>
      </c>
      <c r="E64" s="131">
        <f t="shared" si="21"/>
        <v>6000000</v>
      </c>
      <c r="F64" s="128">
        <v>4450000</v>
      </c>
      <c r="G64" s="128">
        <v>500000</v>
      </c>
      <c r="H64" s="128">
        <v>250000</v>
      </c>
      <c r="I64" s="126"/>
      <c r="J64" s="126"/>
      <c r="K64" s="126">
        <v>300000</v>
      </c>
      <c r="L64" s="126">
        <v>500000</v>
      </c>
      <c r="M64" s="127">
        <f>'BẢNG CHẤM CÔNG T3'!D64</f>
        <v>20</v>
      </c>
      <c r="N64" s="127">
        <f>'BẢNG CHẤM CÔNG T3'!E64</f>
        <v>71.5</v>
      </c>
      <c r="O64" s="127">
        <f>'BẢNG CHẤM CÔNG T3'!F64</f>
        <v>2</v>
      </c>
      <c r="P64" s="127">
        <f>'BẢNG CHẤM CÔNG T3'!G64</f>
        <v>1.5</v>
      </c>
      <c r="Q64" s="127">
        <f>'BẢNG CHẤM CÔNG T3'!H64</f>
        <v>33.5</v>
      </c>
      <c r="R64" s="127">
        <f>'BẢNG CHẤM CÔNG T3'!I64</f>
        <v>0</v>
      </c>
      <c r="S64" s="127">
        <f>'BẢNG CHẤM CÔNG T3'!J64</f>
        <v>0</v>
      </c>
      <c r="T64" s="127">
        <f>'BẢNG CHẤM CÔNG T3'!K64</f>
        <v>0</v>
      </c>
      <c r="U64" s="127">
        <f>'BẢNG CHẤM CÔNG T3'!L64</f>
        <v>0</v>
      </c>
      <c r="V64" s="127">
        <f>'BẢNG CHẤM CÔNG T3'!M64</f>
        <v>0</v>
      </c>
      <c r="W64" s="132">
        <f t="shared" si="22"/>
        <v>3423076.923076923</v>
      </c>
      <c r="X64" s="132">
        <f t="shared" si="4"/>
        <v>2294531.25</v>
      </c>
      <c r="Y64" s="132">
        <f t="shared" si="17"/>
        <v>77019.230769230766</v>
      </c>
      <c r="Z64" s="132">
        <f t="shared" si="23"/>
        <v>1433413.4615384615</v>
      </c>
      <c r="AA64" s="132">
        <f t="shared" si="7"/>
        <v>384615.38461538462</v>
      </c>
      <c r="AB64" s="132">
        <f t="shared" si="18"/>
        <v>192307.69230769231</v>
      </c>
      <c r="AC64" s="132">
        <f t="shared" si="9"/>
        <v>0</v>
      </c>
      <c r="AD64" s="132">
        <f t="shared" si="10"/>
        <v>0</v>
      </c>
      <c r="AE64" s="132">
        <f t="shared" si="24"/>
        <v>230769.23076923078</v>
      </c>
      <c r="AF64" s="132">
        <f t="shared" si="14"/>
        <v>384615.38461538462</v>
      </c>
      <c r="AG64" s="132">
        <f t="shared" si="11"/>
        <v>8420348.557692308</v>
      </c>
      <c r="AH64" s="132"/>
      <c r="AI64" s="132">
        <f t="shared" si="12"/>
        <v>32091.346153846156</v>
      </c>
      <c r="AJ64" s="132"/>
      <c r="AK64" s="132"/>
      <c r="AL64" s="132"/>
      <c r="AM64" s="132">
        <f t="shared" si="19"/>
        <v>32091.346153846156</v>
      </c>
      <c r="AN64" s="180">
        <f t="shared" si="20"/>
        <v>8388257.211538462</v>
      </c>
    </row>
    <row r="65" spans="1:40" hidden="1" x14ac:dyDescent="0.25">
      <c r="A65" s="59">
        <v>55</v>
      </c>
      <c r="B65" s="72" t="s">
        <v>154</v>
      </c>
      <c r="C65" s="73" t="s">
        <v>155</v>
      </c>
      <c r="D65" s="72">
        <v>26</v>
      </c>
      <c r="E65" s="131">
        <f t="shared" si="21"/>
        <v>6000000</v>
      </c>
      <c r="F65" s="128">
        <v>4450000</v>
      </c>
      <c r="G65" s="128">
        <v>500000</v>
      </c>
      <c r="H65" s="128">
        <v>250000</v>
      </c>
      <c r="I65" s="126"/>
      <c r="J65" s="126"/>
      <c r="K65" s="126">
        <v>300000</v>
      </c>
      <c r="L65" s="126">
        <v>500000</v>
      </c>
      <c r="M65" s="127">
        <f>'BẢNG CHẤM CÔNG T3'!D65</f>
        <v>21</v>
      </c>
      <c r="N65" s="127">
        <f>'BẢNG CHẤM CÔNG T3'!E65</f>
        <v>82</v>
      </c>
      <c r="O65" s="127">
        <f>'BẢNG CHẤM CÔNG T3'!F65</f>
        <v>4</v>
      </c>
      <c r="P65" s="127">
        <f>'BẢNG CHẤM CÔNG T3'!G65</f>
        <v>0</v>
      </c>
      <c r="Q65" s="127">
        <f>'BẢNG CHẤM CÔNG T3'!H65</f>
        <v>35.5</v>
      </c>
      <c r="R65" s="127">
        <f>'BẢNG CHẤM CÔNG T3'!I65</f>
        <v>0</v>
      </c>
      <c r="S65" s="127">
        <f>'BẢNG CHẤM CÔNG T3'!J65</f>
        <v>0</v>
      </c>
      <c r="T65" s="127">
        <f>'BẢNG CHẤM CÔNG T3'!K65</f>
        <v>0</v>
      </c>
      <c r="U65" s="127">
        <f>'BẢNG CHẤM CÔNG T3'!L65</f>
        <v>0</v>
      </c>
      <c r="V65" s="127">
        <f>'BẢNG CHẤM CÔNG T3'!M65</f>
        <v>0</v>
      </c>
      <c r="W65" s="132">
        <f t="shared" si="22"/>
        <v>3594230.7692307695</v>
      </c>
      <c r="X65" s="132">
        <f t="shared" si="4"/>
        <v>2631490.3846153845</v>
      </c>
      <c r="Y65" s="132">
        <f t="shared" si="17"/>
        <v>154038.46153846153</v>
      </c>
      <c r="Z65" s="132">
        <f t="shared" si="23"/>
        <v>1518990.3846153847</v>
      </c>
      <c r="AA65" s="132">
        <f t="shared" si="7"/>
        <v>403846.15384615381</v>
      </c>
      <c r="AB65" s="132">
        <f t="shared" si="18"/>
        <v>201923.07692307691</v>
      </c>
      <c r="AC65" s="132">
        <f t="shared" si="9"/>
        <v>0</v>
      </c>
      <c r="AD65" s="132">
        <f t="shared" si="10"/>
        <v>0</v>
      </c>
      <c r="AE65" s="132">
        <f t="shared" si="24"/>
        <v>242307.69230769231</v>
      </c>
      <c r="AF65" s="132">
        <f t="shared" si="14"/>
        <v>403846.15384615381</v>
      </c>
      <c r="AG65" s="132">
        <f t="shared" si="11"/>
        <v>9150673.0769230779</v>
      </c>
      <c r="AH65" s="132"/>
      <c r="AI65" s="132">
        <f t="shared" si="12"/>
        <v>0</v>
      </c>
      <c r="AJ65" s="132"/>
      <c r="AK65" s="132"/>
      <c r="AL65" s="132"/>
      <c r="AM65" s="132">
        <f t="shared" si="19"/>
        <v>0</v>
      </c>
      <c r="AN65" s="180">
        <f t="shared" si="20"/>
        <v>9150673.0769230779</v>
      </c>
    </row>
    <row r="66" spans="1:40" hidden="1" x14ac:dyDescent="0.25">
      <c r="A66" s="59">
        <v>56</v>
      </c>
      <c r="B66" s="72" t="s">
        <v>158</v>
      </c>
      <c r="C66" s="73" t="s">
        <v>159</v>
      </c>
      <c r="D66" s="72">
        <v>26</v>
      </c>
      <c r="E66" s="131">
        <f t="shared" si="21"/>
        <v>6000000</v>
      </c>
      <c r="F66" s="128">
        <v>4450000</v>
      </c>
      <c r="G66" s="128">
        <v>500000</v>
      </c>
      <c r="H66" s="128">
        <v>250000</v>
      </c>
      <c r="I66" s="126"/>
      <c r="J66" s="126"/>
      <c r="K66" s="126">
        <v>300000</v>
      </c>
      <c r="L66" s="126">
        <v>500000</v>
      </c>
      <c r="M66" s="127">
        <f>'BẢNG CHẤM CÔNG T3'!D66</f>
        <v>17</v>
      </c>
      <c r="N66" s="127">
        <f>'BẢNG CHẤM CÔNG T3'!E66</f>
        <v>47.5</v>
      </c>
      <c r="O66" s="127">
        <f>'BẢNG CHẤM CÔNG T3'!F66</f>
        <v>0.5</v>
      </c>
      <c r="P66" s="127">
        <f>'BẢNG CHẤM CÔNG T3'!G66</f>
        <v>0</v>
      </c>
      <c r="Q66" s="127">
        <f>'BẢNG CHẤM CÔNG T3'!H66</f>
        <v>34.5</v>
      </c>
      <c r="R66" s="127">
        <f>'BẢNG CHẤM CÔNG T3'!I66</f>
        <v>0</v>
      </c>
      <c r="S66" s="127">
        <f>'BẢNG CHẤM CÔNG T3'!J66</f>
        <v>3</v>
      </c>
      <c r="T66" s="127">
        <f>'BẢNG CHẤM CÔNG T3'!K66</f>
        <v>0</v>
      </c>
      <c r="U66" s="127">
        <f>'BẢNG CHẤM CÔNG T3'!L66</f>
        <v>0</v>
      </c>
      <c r="V66" s="127">
        <f>'BẢNG CHẤM CÔNG T3'!M66</f>
        <v>0</v>
      </c>
      <c r="W66" s="132">
        <f t="shared" si="22"/>
        <v>2909615.3846153845</v>
      </c>
      <c r="X66" s="132">
        <f t="shared" si="4"/>
        <v>1524338.9423076923</v>
      </c>
      <c r="Y66" s="132">
        <f t="shared" si="17"/>
        <v>19254.807692307691</v>
      </c>
      <c r="Z66" s="132">
        <f t="shared" si="23"/>
        <v>1476201.923076923</v>
      </c>
      <c r="AA66" s="132">
        <f t="shared" si="7"/>
        <v>326923.07692307694</v>
      </c>
      <c r="AB66" s="132">
        <f t="shared" si="18"/>
        <v>163461.53846153847</v>
      </c>
      <c r="AC66" s="132">
        <f t="shared" si="9"/>
        <v>0</v>
      </c>
      <c r="AD66" s="132">
        <f t="shared" si="10"/>
        <v>0</v>
      </c>
      <c r="AE66" s="132">
        <f t="shared" si="24"/>
        <v>196153.84615384616</v>
      </c>
      <c r="AF66" s="132">
        <f t="shared" si="14"/>
        <v>326923.07692307694</v>
      </c>
      <c r="AG66" s="132">
        <f t="shared" si="11"/>
        <v>6942872.596153846</v>
      </c>
      <c r="AH66" s="132"/>
      <c r="AI66" s="132">
        <f t="shared" si="12"/>
        <v>0</v>
      </c>
      <c r="AJ66" s="132"/>
      <c r="AK66" s="132"/>
      <c r="AL66" s="132"/>
      <c r="AM66" s="132">
        <f t="shared" si="19"/>
        <v>0</v>
      </c>
      <c r="AN66" s="180">
        <f t="shared" si="20"/>
        <v>6942872.596153846</v>
      </c>
    </row>
    <row r="67" spans="1:40" hidden="1" x14ac:dyDescent="0.25">
      <c r="A67" s="59">
        <v>57</v>
      </c>
      <c r="B67" s="72" t="s">
        <v>150</v>
      </c>
      <c r="C67" s="73" t="s">
        <v>151</v>
      </c>
      <c r="D67" s="72">
        <v>26</v>
      </c>
      <c r="E67" s="131">
        <f t="shared" si="21"/>
        <v>5200000</v>
      </c>
      <c r="F67" s="128">
        <v>4450000</v>
      </c>
      <c r="G67" s="128">
        <v>500000</v>
      </c>
      <c r="H67" s="128">
        <v>250000</v>
      </c>
      <c r="I67" s="126"/>
      <c r="J67" s="126"/>
      <c r="K67" s="126"/>
      <c r="L67" s="126"/>
      <c r="M67" s="127">
        <f>'BẢNG CHẤM CÔNG T3'!D67</f>
        <v>10</v>
      </c>
      <c r="N67" s="127">
        <f>'BẢNG CHẤM CÔNG T3'!E67</f>
        <v>13</v>
      </c>
      <c r="O67" s="127">
        <f>'BẢNG CHẤM CÔNG T3'!F67</f>
        <v>0</v>
      </c>
      <c r="P67" s="127">
        <f>'BẢNG CHẤM CÔNG T3'!G67</f>
        <v>0</v>
      </c>
      <c r="Q67" s="127">
        <f>'BẢNG CHẤM CÔNG T3'!H67</f>
        <v>9</v>
      </c>
      <c r="R67" s="127">
        <f>'BẢNG CHẤM CÔNG T3'!I67</f>
        <v>0</v>
      </c>
      <c r="S67" s="127">
        <f>'BẢNG CHẤM CÔNG T3'!J67</f>
        <v>0</v>
      </c>
      <c r="T67" s="127">
        <f>'BẢNG CHẤM CÔNG T3'!K67</f>
        <v>0</v>
      </c>
      <c r="U67" s="127">
        <f>'BẢNG CHẤM CÔNG T3'!L67</f>
        <v>0</v>
      </c>
      <c r="V67" s="127">
        <f>'BẢNG CHẤM CÔNG T3'!M67</f>
        <v>0</v>
      </c>
      <c r="W67" s="132">
        <f t="shared" si="22"/>
        <v>1711538.4615384615</v>
      </c>
      <c r="X67" s="132">
        <f t="shared" si="4"/>
        <v>417187.5</v>
      </c>
      <c r="Y67" s="132">
        <f t="shared" si="17"/>
        <v>0</v>
      </c>
      <c r="Z67" s="132">
        <f t="shared" si="23"/>
        <v>385096.15384615387</v>
      </c>
      <c r="AA67" s="132">
        <f t="shared" si="7"/>
        <v>192307.69230769231</v>
      </c>
      <c r="AB67" s="132">
        <f t="shared" si="18"/>
        <v>96153.846153846156</v>
      </c>
      <c r="AC67" s="132">
        <f t="shared" si="9"/>
        <v>0</v>
      </c>
      <c r="AD67" s="132">
        <f t="shared" si="10"/>
        <v>0</v>
      </c>
      <c r="AE67" s="132">
        <f t="shared" si="24"/>
        <v>0</v>
      </c>
      <c r="AF67" s="132">
        <f t="shared" si="14"/>
        <v>0</v>
      </c>
      <c r="AG67" s="132">
        <f t="shared" si="11"/>
        <v>2802283.653846154</v>
      </c>
      <c r="AH67" s="132"/>
      <c r="AI67" s="132">
        <f t="shared" si="12"/>
        <v>0</v>
      </c>
      <c r="AJ67" s="132"/>
      <c r="AK67" s="132"/>
      <c r="AL67" s="132"/>
      <c r="AM67" s="132">
        <f t="shared" si="19"/>
        <v>0</v>
      </c>
      <c r="AN67" s="180">
        <f t="shared" si="20"/>
        <v>2802283.653846154</v>
      </c>
    </row>
    <row r="68" spans="1:40" hidden="1" x14ac:dyDescent="0.25">
      <c r="A68" s="59">
        <v>58</v>
      </c>
      <c r="B68" s="72" t="s">
        <v>138</v>
      </c>
      <c r="C68" s="73" t="s">
        <v>139</v>
      </c>
      <c r="D68" s="72">
        <v>26</v>
      </c>
      <c r="E68" s="131">
        <f t="shared" si="21"/>
        <v>5200000</v>
      </c>
      <c r="F68" s="128">
        <v>4450000</v>
      </c>
      <c r="G68" s="128">
        <v>500000</v>
      </c>
      <c r="H68" s="128">
        <v>250000</v>
      </c>
      <c r="I68" s="126"/>
      <c r="J68" s="126"/>
      <c r="K68" s="126"/>
      <c r="L68" s="126"/>
      <c r="M68" s="127">
        <f>'BẢNG CHẤM CÔNG T3'!D68</f>
        <v>8</v>
      </c>
      <c r="N68" s="127">
        <f>'BẢNG CHẤM CÔNG T3'!E68</f>
        <v>0</v>
      </c>
      <c r="O68" s="127">
        <f>'BẢNG CHẤM CÔNG T3'!F68</f>
        <v>0</v>
      </c>
      <c r="P68" s="127">
        <f>'BẢNG CHẤM CÔNG T3'!G68</f>
        <v>0</v>
      </c>
      <c r="Q68" s="127">
        <f>'BẢNG CHẤM CÔNG T3'!H68</f>
        <v>0</v>
      </c>
      <c r="R68" s="127">
        <f>'BẢNG CHẤM CÔNG T3'!I68</f>
        <v>0</v>
      </c>
      <c r="S68" s="127">
        <f>'BẢNG CHẤM CÔNG T3'!J68</f>
        <v>0</v>
      </c>
      <c r="T68" s="127">
        <f>'BẢNG CHẤM CÔNG T3'!K68</f>
        <v>0</v>
      </c>
      <c r="U68" s="127">
        <f>'BẢNG CHẤM CÔNG T3'!L68</f>
        <v>0</v>
      </c>
      <c r="V68" s="127">
        <f>'BẢNG CHẤM CÔNG T3'!M68</f>
        <v>0</v>
      </c>
      <c r="W68" s="132">
        <f t="shared" si="22"/>
        <v>1369230.7692307692</v>
      </c>
      <c r="X68" s="132">
        <f t="shared" si="4"/>
        <v>0</v>
      </c>
      <c r="Y68" s="132">
        <f t="shared" si="17"/>
        <v>0</v>
      </c>
      <c r="Z68" s="132">
        <f t="shared" si="23"/>
        <v>0</v>
      </c>
      <c r="AA68" s="132">
        <f t="shared" si="7"/>
        <v>153846.15384615384</v>
      </c>
      <c r="AB68" s="132">
        <f t="shared" si="18"/>
        <v>76923.076923076922</v>
      </c>
      <c r="AC68" s="132">
        <f t="shared" si="9"/>
        <v>0</v>
      </c>
      <c r="AD68" s="132">
        <f t="shared" si="10"/>
        <v>0</v>
      </c>
      <c r="AE68" s="132">
        <f t="shared" si="24"/>
        <v>0</v>
      </c>
      <c r="AF68" s="132">
        <f t="shared" si="14"/>
        <v>0</v>
      </c>
      <c r="AG68" s="132">
        <f t="shared" si="11"/>
        <v>1600000</v>
      </c>
      <c r="AH68" s="132"/>
      <c r="AI68" s="132">
        <f t="shared" si="12"/>
        <v>0</v>
      </c>
      <c r="AJ68" s="132"/>
      <c r="AK68" s="132"/>
      <c r="AL68" s="132"/>
      <c r="AM68" s="132">
        <f t="shared" si="19"/>
        <v>0</v>
      </c>
      <c r="AN68" s="180">
        <f t="shared" si="20"/>
        <v>1600000</v>
      </c>
    </row>
    <row r="69" spans="1:40" hidden="1" x14ac:dyDescent="0.25">
      <c r="A69" s="59">
        <v>59</v>
      </c>
      <c r="B69" s="72" t="s">
        <v>140</v>
      </c>
      <c r="C69" s="73" t="s">
        <v>141</v>
      </c>
      <c r="D69" s="72">
        <v>26</v>
      </c>
      <c r="E69" s="131">
        <f t="shared" si="21"/>
        <v>6000000</v>
      </c>
      <c r="F69" s="128">
        <v>4450000</v>
      </c>
      <c r="G69" s="128">
        <v>500000</v>
      </c>
      <c r="H69" s="128">
        <v>250000</v>
      </c>
      <c r="I69" s="126"/>
      <c r="J69" s="126"/>
      <c r="K69" s="126">
        <v>300000</v>
      </c>
      <c r="L69" s="126">
        <v>500000</v>
      </c>
      <c r="M69" s="127">
        <f>'BẢNG CHẤM CÔNG T3'!D69</f>
        <v>20</v>
      </c>
      <c r="N69" s="127">
        <f>'BẢNG CHẤM CÔNG T3'!E69</f>
        <v>56.5</v>
      </c>
      <c r="O69" s="127">
        <f>'BẢNG CHẤM CÔNG T3'!F69</f>
        <v>2</v>
      </c>
      <c r="P69" s="127">
        <f>'BẢNG CHẤM CÔNG T3'!G69</f>
        <v>0</v>
      </c>
      <c r="Q69" s="127">
        <f>'BẢNG CHẤM CÔNG T3'!H69</f>
        <v>16</v>
      </c>
      <c r="R69" s="127">
        <f>'BẢNG CHẤM CÔNG T3'!I69</f>
        <v>0</v>
      </c>
      <c r="S69" s="127">
        <f>'BẢNG CHẤM CÔNG T3'!J69</f>
        <v>2</v>
      </c>
      <c r="T69" s="127">
        <f>'BẢNG CHẤM CÔNG T3'!K69</f>
        <v>0</v>
      </c>
      <c r="U69" s="127">
        <f>'BẢNG CHẤM CÔNG T3'!L69</f>
        <v>0</v>
      </c>
      <c r="V69" s="127">
        <f>'BẢNG CHẤM CÔNG T3'!M69</f>
        <v>0</v>
      </c>
      <c r="W69" s="132">
        <f t="shared" si="22"/>
        <v>3423076.923076923</v>
      </c>
      <c r="X69" s="132">
        <f t="shared" si="4"/>
        <v>1813161.0576923077</v>
      </c>
      <c r="Y69" s="132">
        <f t="shared" si="17"/>
        <v>77019.230769230766</v>
      </c>
      <c r="Z69" s="132">
        <f t="shared" si="23"/>
        <v>684615.38461538462</v>
      </c>
      <c r="AA69" s="132">
        <f t="shared" si="7"/>
        <v>384615.38461538462</v>
      </c>
      <c r="AB69" s="132">
        <f t="shared" si="18"/>
        <v>192307.69230769231</v>
      </c>
      <c r="AC69" s="132">
        <f t="shared" si="9"/>
        <v>0</v>
      </c>
      <c r="AD69" s="132">
        <f t="shared" si="10"/>
        <v>0</v>
      </c>
      <c r="AE69" s="132">
        <f t="shared" si="24"/>
        <v>230769.23076923078</v>
      </c>
      <c r="AF69" s="132">
        <f t="shared" si="14"/>
        <v>384615.38461538462</v>
      </c>
      <c r="AG69" s="132">
        <f t="shared" si="11"/>
        <v>7190180.2884615399</v>
      </c>
      <c r="AH69" s="132"/>
      <c r="AI69" s="132">
        <f t="shared" si="12"/>
        <v>0</v>
      </c>
      <c r="AJ69" s="132"/>
      <c r="AK69" s="132"/>
      <c r="AL69" s="132"/>
      <c r="AM69" s="132">
        <f t="shared" si="19"/>
        <v>0</v>
      </c>
      <c r="AN69" s="183">
        <f t="shared" si="20"/>
        <v>7190180.2884615399</v>
      </c>
    </row>
    <row r="70" spans="1:40" hidden="1" x14ac:dyDescent="0.25">
      <c r="A70" s="59">
        <v>60</v>
      </c>
      <c r="B70" s="72" t="s">
        <v>142</v>
      </c>
      <c r="C70" s="73" t="s">
        <v>143</v>
      </c>
      <c r="D70" s="72">
        <v>26</v>
      </c>
      <c r="E70" s="131">
        <f t="shared" si="21"/>
        <v>6000000</v>
      </c>
      <c r="F70" s="128">
        <v>4450000</v>
      </c>
      <c r="G70" s="128">
        <v>500000</v>
      </c>
      <c r="H70" s="128">
        <v>250000</v>
      </c>
      <c r="I70" s="126"/>
      <c r="J70" s="126"/>
      <c r="K70" s="126">
        <v>300000</v>
      </c>
      <c r="L70" s="126">
        <v>500000</v>
      </c>
      <c r="M70" s="127">
        <f>'BẢNG CHẤM CÔNG T3'!D70</f>
        <v>20</v>
      </c>
      <c r="N70" s="127">
        <f>'BẢNG CHẤM CÔNG T3'!E70</f>
        <v>61.5</v>
      </c>
      <c r="O70" s="127">
        <f>'BẢNG CHẤM CÔNG T3'!F70</f>
        <v>2.5</v>
      </c>
      <c r="P70" s="127">
        <f>'BẢNG CHẤM CÔNG T3'!G70</f>
        <v>0</v>
      </c>
      <c r="Q70" s="127">
        <f>'BẢNG CHẤM CÔNG T3'!H70</f>
        <v>0</v>
      </c>
      <c r="R70" s="127">
        <f>'BẢNG CHẤM CÔNG T3'!I70</f>
        <v>0</v>
      </c>
      <c r="S70" s="127">
        <f>'BẢNG CHẤM CÔNG T3'!J70</f>
        <v>1</v>
      </c>
      <c r="T70" s="127">
        <f>'BẢNG CHẤM CÔNG T3'!K70</f>
        <v>0</v>
      </c>
      <c r="U70" s="127">
        <f>'BẢNG CHẤM CÔNG T3'!L70</f>
        <v>0</v>
      </c>
      <c r="V70" s="127">
        <f>'BẢNG CHẤM CÔNG T3'!M70</f>
        <v>0</v>
      </c>
      <c r="W70" s="132">
        <f t="shared" si="22"/>
        <v>3423076.923076923</v>
      </c>
      <c r="X70" s="132">
        <f t="shared" si="4"/>
        <v>1973617.7884615385</v>
      </c>
      <c r="Y70" s="132">
        <f t="shared" si="17"/>
        <v>96274.038461538468</v>
      </c>
      <c r="Z70" s="132">
        <f t="shared" si="23"/>
        <v>0</v>
      </c>
      <c r="AA70" s="132">
        <f t="shared" si="7"/>
        <v>384615.38461538462</v>
      </c>
      <c r="AB70" s="132">
        <f t="shared" si="18"/>
        <v>192307.69230769231</v>
      </c>
      <c r="AC70" s="132">
        <f t="shared" si="9"/>
        <v>0</v>
      </c>
      <c r="AD70" s="132">
        <f t="shared" si="10"/>
        <v>0</v>
      </c>
      <c r="AE70" s="132">
        <f t="shared" si="24"/>
        <v>230769.23076923078</v>
      </c>
      <c r="AF70" s="132">
        <f t="shared" si="14"/>
        <v>384615.38461538462</v>
      </c>
      <c r="AG70" s="132">
        <f t="shared" si="11"/>
        <v>6685276.442307693</v>
      </c>
      <c r="AH70" s="132"/>
      <c r="AI70" s="132">
        <f t="shared" si="12"/>
        <v>0</v>
      </c>
      <c r="AJ70" s="132"/>
      <c r="AK70" s="132"/>
      <c r="AL70" s="132"/>
      <c r="AM70" s="132">
        <f t="shared" si="19"/>
        <v>0</v>
      </c>
      <c r="AN70" s="183">
        <f t="shared" si="20"/>
        <v>6685276.442307693</v>
      </c>
    </row>
    <row r="71" spans="1:40" hidden="1" x14ac:dyDescent="0.25">
      <c r="A71" s="59">
        <v>61</v>
      </c>
      <c r="B71" s="72" t="s">
        <v>144</v>
      </c>
      <c r="C71" s="73" t="s">
        <v>145</v>
      </c>
      <c r="D71" s="72">
        <v>26</v>
      </c>
      <c r="E71" s="131">
        <f t="shared" si="21"/>
        <v>6000000</v>
      </c>
      <c r="F71" s="128">
        <v>4450000</v>
      </c>
      <c r="G71" s="128">
        <v>500000</v>
      </c>
      <c r="H71" s="128">
        <v>250000</v>
      </c>
      <c r="I71" s="126"/>
      <c r="J71" s="126"/>
      <c r="K71" s="126">
        <v>300000</v>
      </c>
      <c r="L71" s="126">
        <v>500000</v>
      </c>
      <c r="M71" s="127">
        <f>'BẢNG CHẤM CÔNG T3'!D71</f>
        <v>19</v>
      </c>
      <c r="N71" s="127">
        <f>'BẢNG CHẤM CÔNG T3'!E71</f>
        <v>55</v>
      </c>
      <c r="O71" s="127">
        <f>'BẢNG CHẤM CÔNG T3'!F71</f>
        <v>2.5</v>
      </c>
      <c r="P71" s="127">
        <f>'BẢNG CHẤM CÔNG T3'!G71</f>
        <v>0</v>
      </c>
      <c r="Q71" s="127">
        <f>'BẢNG CHẤM CÔNG T3'!H71</f>
        <v>8</v>
      </c>
      <c r="R71" s="127">
        <f>'BẢNG CHẤM CÔNG T3'!I71</f>
        <v>0</v>
      </c>
      <c r="S71" s="127">
        <f>'BẢNG CHẤM CÔNG T3'!J71</f>
        <v>0</v>
      </c>
      <c r="T71" s="127">
        <f>'BẢNG CHẤM CÔNG T3'!K71</f>
        <v>0</v>
      </c>
      <c r="U71" s="127">
        <f>'BẢNG CHẤM CÔNG T3'!L71</f>
        <v>0</v>
      </c>
      <c r="V71" s="127">
        <f>'BẢNG CHẤM CÔNG T3'!M71</f>
        <v>0</v>
      </c>
      <c r="W71" s="132">
        <f t="shared" si="22"/>
        <v>3251923.076923077</v>
      </c>
      <c r="X71" s="132">
        <f t="shared" si="4"/>
        <v>1765024.0384615385</v>
      </c>
      <c r="Y71" s="132">
        <f t="shared" si="17"/>
        <v>96274.038461538468</v>
      </c>
      <c r="Z71" s="132">
        <f t="shared" si="23"/>
        <v>342307.69230769231</v>
      </c>
      <c r="AA71" s="132">
        <f t="shared" si="7"/>
        <v>365384.61538461538</v>
      </c>
      <c r="AB71" s="132">
        <f t="shared" si="18"/>
        <v>182692.30769230769</v>
      </c>
      <c r="AC71" s="132">
        <f t="shared" si="9"/>
        <v>0</v>
      </c>
      <c r="AD71" s="132">
        <f t="shared" si="10"/>
        <v>0</v>
      </c>
      <c r="AE71" s="132">
        <f t="shared" si="24"/>
        <v>219230.76923076925</v>
      </c>
      <c r="AF71" s="132">
        <f t="shared" si="14"/>
        <v>365384.61538461538</v>
      </c>
      <c r="AG71" s="132">
        <f t="shared" si="11"/>
        <v>6588221.1538461531</v>
      </c>
      <c r="AH71" s="132"/>
      <c r="AI71" s="132">
        <f t="shared" si="12"/>
        <v>0</v>
      </c>
      <c r="AJ71" s="132"/>
      <c r="AK71" s="132"/>
      <c r="AL71" s="132"/>
      <c r="AM71" s="132">
        <f t="shared" si="19"/>
        <v>0</v>
      </c>
      <c r="AN71" s="183">
        <f t="shared" si="20"/>
        <v>6588221.1538461531</v>
      </c>
    </row>
    <row r="72" spans="1:40" hidden="1" x14ac:dyDescent="0.25">
      <c r="A72" s="59">
        <v>62</v>
      </c>
      <c r="B72" s="72" t="s">
        <v>146</v>
      </c>
      <c r="C72" s="73" t="s">
        <v>147</v>
      </c>
      <c r="D72" s="72">
        <v>26</v>
      </c>
      <c r="E72" s="131">
        <f t="shared" si="21"/>
        <v>5200000</v>
      </c>
      <c r="F72" s="128">
        <v>4450000</v>
      </c>
      <c r="G72" s="128">
        <v>500000</v>
      </c>
      <c r="H72" s="128">
        <v>250000</v>
      </c>
      <c r="I72" s="126"/>
      <c r="J72" s="126"/>
      <c r="K72" s="126"/>
      <c r="L72" s="126"/>
      <c r="M72" s="127">
        <f>'BẢNG CHẤM CÔNG T3'!D72</f>
        <v>9</v>
      </c>
      <c r="N72" s="127">
        <f>'BẢNG CHẤM CÔNG T3'!E72</f>
        <v>12</v>
      </c>
      <c r="O72" s="127">
        <f>'BẢNG CHẤM CÔNG T3'!F72</f>
        <v>0</v>
      </c>
      <c r="P72" s="127">
        <f>'BẢNG CHẤM CÔNG T3'!G72</f>
        <v>0</v>
      </c>
      <c r="Q72" s="127">
        <f>'BẢNG CHẤM CÔNG T3'!H72</f>
        <v>0</v>
      </c>
      <c r="R72" s="127">
        <f>'BẢNG CHẤM CÔNG T3'!I72</f>
        <v>0</v>
      </c>
      <c r="S72" s="127">
        <f>'BẢNG CHẤM CÔNG T3'!J72</f>
        <v>0</v>
      </c>
      <c r="T72" s="127">
        <f>'BẢNG CHẤM CÔNG T3'!K72</f>
        <v>0</v>
      </c>
      <c r="U72" s="127">
        <f>'BẢNG CHẤM CÔNG T3'!L72</f>
        <v>0</v>
      </c>
      <c r="V72" s="127">
        <f>'BẢNG CHẤM CÔNG T3'!M72</f>
        <v>0</v>
      </c>
      <c r="W72" s="132">
        <f t="shared" si="22"/>
        <v>1540384.6153846155</v>
      </c>
      <c r="X72" s="132">
        <f t="shared" si="4"/>
        <v>385096.15384615387</v>
      </c>
      <c r="Y72" s="132">
        <f t="shared" si="17"/>
        <v>0</v>
      </c>
      <c r="Z72" s="132">
        <f t="shared" si="23"/>
        <v>0</v>
      </c>
      <c r="AA72" s="132">
        <f t="shared" si="7"/>
        <v>173076.92307692306</v>
      </c>
      <c r="AB72" s="132">
        <f t="shared" si="18"/>
        <v>86538.461538461532</v>
      </c>
      <c r="AC72" s="132">
        <f t="shared" si="9"/>
        <v>0</v>
      </c>
      <c r="AD72" s="132">
        <f t="shared" si="10"/>
        <v>0</v>
      </c>
      <c r="AE72" s="132">
        <f t="shared" si="24"/>
        <v>0</v>
      </c>
      <c r="AF72" s="132">
        <f t="shared" si="14"/>
        <v>0</v>
      </c>
      <c r="AG72" s="132">
        <f t="shared" si="11"/>
        <v>2185096.153846154</v>
      </c>
      <c r="AH72" s="132"/>
      <c r="AI72" s="132">
        <f t="shared" si="12"/>
        <v>0</v>
      </c>
      <c r="AJ72" s="132"/>
      <c r="AK72" s="132"/>
      <c r="AL72" s="132"/>
      <c r="AM72" s="132">
        <f t="shared" si="19"/>
        <v>0</v>
      </c>
      <c r="AN72" s="183">
        <f t="shared" si="20"/>
        <v>2185096.153846154</v>
      </c>
    </row>
    <row r="73" spans="1:40" hidden="1" x14ac:dyDescent="0.25">
      <c r="A73" s="59">
        <v>63</v>
      </c>
      <c r="B73" s="72" t="s">
        <v>148</v>
      </c>
      <c r="C73" s="73" t="s">
        <v>149</v>
      </c>
      <c r="D73" s="72">
        <v>26</v>
      </c>
      <c r="E73" s="131">
        <f t="shared" si="21"/>
        <v>5200000</v>
      </c>
      <c r="F73" s="128">
        <v>4450000</v>
      </c>
      <c r="G73" s="128">
        <v>500000</v>
      </c>
      <c r="H73" s="128">
        <v>250000</v>
      </c>
      <c r="I73" s="126"/>
      <c r="J73" s="126"/>
      <c r="K73" s="126"/>
      <c r="L73" s="126"/>
      <c r="M73" s="127">
        <f>'BẢNG CHẤM CÔNG T3'!D73</f>
        <v>10</v>
      </c>
      <c r="N73" s="127">
        <f>'BẢNG CHẤM CÔNG T3'!E73</f>
        <v>9</v>
      </c>
      <c r="O73" s="127">
        <f>'BẢNG CHẤM CÔNG T3'!F73</f>
        <v>3</v>
      </c>
      <c r="P73" s="127">
        <f>'BẢNG CHẤM CÔNG T3'!G73</f>
        <v>0</v>
      </c>
      <c r="Q73" s="127">
        <f>'BẢNG CHẤM CÔNG T3'!H73</f>
        <v>8</v>
      </c>
      <c r="R73" s="127">
        <f>'BẢNG CHẤM CÔNG T3'!I73</f>
        <v>0</v>
      </c>
      <c r="S73" s="127">
        <f>'BẢNG CHẤM CÔNG T3'!J73</f>
        <v>0</v>
      </c>
      <c r="T73" s="127">
        <f>'BẢNG CHẤM CÔNG T3'!K73</f>
        <v>0</v>
      </c>
      <c r="U73" s="127">
        <f>'BẢNG CHẤM CÔNG T3'!L73</f>
        <v>0</v>
      </c>
      <c r="V73" s="127">
        <f>'BẢNG CHẤM CÔNG T3'!M73</f>
        <v>0</v>
      </c>
      <c r="W73" s="132">
        <f t="shared" si="22"/>
        <v>1711538.4615384615</v>
      </c>
      <c r="X73" s="132">
        <f t="shared" si="4"/>
        <v>288822.11538461538</v>
      </c>
      <c r="Y73" s="132">
        <f t="shared" si="17"/>
        <v>115528.84615384617</v>
      </c>
      <c r="Z73" s="132">
        <f t="shared" si="23"/>
        <v>342307.69230769231</v>
      </c>
      <c r="AA73" s="132">
        <f t="shared" si="7"/>
        <v>192307.69230769231</v>
      </c>
      <c r="AB73" s="132">
        <f t="shared" si="18"/>
        <v>96153.846153846156</v>
      </c>
      <c r="AC73" s="132">
        <f t="shared" si="9"/>
        <v>0</v>
      </c>
      <c r="AD73" s="132">
        <f t="shared" si="10"/>
        <v>0</v>
      </c>
      <c r="AE73" s="132">
        <f t="shared" si="24"/>
        <v>0</v>
      </c>
      <c r="AF73" s="132">
        <f t="shared" si="14"/>
        <v>0</v>
      </c>
      <c r="AG73" s="132">
        <f t="shared" si="11"/>
        <v>2746658.653846154</v>
      </c>
      <c r="AH73" s="132">
        <v>975360.57692307699</v>
      </c>
      <c r="AI73" s="132">
        <f t="shared" si="12"/>
        <v>0</v>
      </c>
      <c r="AJ73" s="132"/>
      <c r="AK73" s="132"/>
      <c r="AL73" s="132"/>
      <c r="AM73" s="132">
        <f t="shared" si="19"/>
        <v>0</v>
      </c>
      <c r="AN73" s="183">
        <f>AG73-AM73+AH73</f>
        <v>3722019.230769231</v>
      </c>
    </row>
    <row r="74" spans="1:40" hidden="1" x14ac:dyDescent="0.25">
      <c r="A74" s="59">
        <v>64</v>
      </c>
      <c r="B74" s="72" t="s">
        <v>136</v>
      </c>
      <c r="C74" s="73" t="s">
        <v>137</v>
      </c>
      <c r="D74" s="72">
        <v>26</v>
      </c>
      <c r="E74" s="131">
        <f t="shared" si="21"/>
        <v>6000000</v>
      </c>
      <c r="F74" s="128">
        <v>4450000</v>
      </c>
      <c r="G74" s="128">
        <v>500000</v>
      </c>
      <c r="H74" s="128">
        <v>250000</v>
      </c>
      <c r="I74" s="126"/>
      <c r="J74" s="126"/>
      <c r="K74" s="126">
        <v>300000</v>
      </c>
      <c r="L74" s="126">
        <v>500000</v>
      </c>
      <c r="M74" s="127">
        <f>'BẢNG CHẤM CÔNG T3'!D74</f>
        <v>20</v>
      </c>
      <c r="N74" s="127">
        <f>'BẢNG CHẤM CÔNG T3'!E74</f>
        <v>45</v>
      </c>
      <c r="O74" s="127">
        <f>'BẢNG CHẤM CÔNG T3'!F74</f>
        <v>3</v>
      </c>
      <c r="P74" s="127">
        <f>'BẢNG CHẤM CÔNG T3'!G74</f>
        <v>0</v>
      </c>
      <c r="Q74" s="127">
        <f>'BẢNG CHẤM CÔNG T3'!H74</f>
        <v>0</v>
      </c>
      <c r="R74" s="127">
        <f>'BẢNG CHẤM CÔNG T3'!I74</f>
        <v>0</v>
      </c>
      <c r="S74" s="127">
        <f>'BẢNG CHẤM CÔNG T3'!J74</f>
        <v>0</v>
      </c>
      <c r="T74" s="127">
        <f>'BẢNG CHẤM CÔNG T3'!K74</f>
        <v>0</v>
      </c>
      <c r="U74" s="127">
        <f>'BẢNG CHẤM CÔNG T3'!L74</f>
        <v>0</v>
      </c>
      <c r="V74" s="127">
        <f>'BẢNG CHẤM CÔNG T3'!M74</f>
        <v>0</v>
      </c>
      <c r="W74" s="132">
        <f t="shared" si="22"/>
        <v>3423076.923076923</v>
      </c>
      <c r="X74" s="132">
        <f t="shared" ref="X74:X88" si="25">F74/D74/8*N74*1.5</f>
        <v>1444110.576923077</v>
      </c>
      <c r="Y74" s="132">
        <f t="shared" si="17"/>
        <v>115528.84615384617</v>
      </c>
      <c r="Z74" s="132">
        <f t="shared" si="23"/>
        <v>0</v>
      </c>
      <c r="AA74" s="132">
        <f t="shared" ref="AA74:AA92" si="26">G74/D74*M74</f>
        <v>384615.38461538462</v>
      </c>
      <c r="AB74" s="132">
        <f t="shared" si="18"/>
        <v>192307.69230769231</v>
      </c>
      <c r="AC74" s="132">
        <f t="shared" ref="AC74:AC92" si="27">I74/D74*M74</f>
        <v>0</v>
      </c>
      <c r="AD74" s="132">
        <f t="shared" ref="AD74:AD92" si="28">J74/D74*M74</f>
        <v>0</v>
      </c>
      <c r="AE74" s="132">
        <f t="shared" si="24"/>
        <v>230769.23076923078</v>
      </c>
      <c r="AF74" s="132">
        <f t="shared" ref="AF74:AF92" si="29">L74/D74*M74</f>
        <v>384615.38461538462</v>
      </c>
      <c r="AG74" s="132">
        <f t="shared" ref="AG74:AG92" si="30">SUM(W74:AF74)</f>
        <v>6175024.038461539</v>
      </c>
      <c r="AH74" s="132"/>
      <c r="AI74" s="132">
        <f t="shared" ref="AI74:AI88" si="31">F74/D74/8*P74</f>
        <v>0</v>
      </c>
      <c r="AJ74" s="132"/>
      <c r="AK74" s="132"/>
      <c r="AL74" s="132"/>
      <c r="AM74" s="132">
        <f t="shared" si="19"/>
        <v>0</v>
      </c>
      <c r="AN74" s="180">
        <f t="shared" si="20"/>
        <v>6175024.038461539</v>
      </c>
    </row>
    <row r="75" spans="1:40" hidden="1" x14ac:dyDescent="0.25">
      <c r="A75" s="59">
        <v>65</v>
      </c>
      <c r="B75" s="72" t="s">
        <v>164</v>
      </c>
      <c r="C75" s="73" t="s">
        <v>165</v>
      </c>
      <c r="D75" s="72">
        <v>26</v>
      </c>
      <c r="E75" s="131">
        <f t="shared" si="21"/>
        <v>5700000</v>
      </c>
      <c r="F75" s="128">
        <v>4450000</v>
      </c>
      <c r="G75" s="128">
        <v>500000</v>
      </c>
      <c r="H75" s="128">
        <v>250000</v>
      </c>
      <c r="I75" s="126"/>
      <c r="J75" s="126"/>
      <c r="K75" s="126"/>
      <c r="L75" s="126">
        <v>500000</v>
      </c>
      <c r="M75" s="127">
        <f>'BẢNG CHẤM CÔNG T3'!D75</f>
        <v>9</v>
      </c>
      <c r="N75" s="127">
        <f>'BẢNG CHẤM CÔNG T3'!E75</f>
        <v>27.5</v>
      </c>
      <c r="O75" s="127">
        <f>'BẢNG CHẤM CÔNG T3'!F75</f>
        <v>0</v>
      </c>
      <c r="P75" s="127">
        <f>'BẢNG CHẤM CÔNG T3'!G75</f>
        <v>0</v>
      </c>
      <c r="Q75" s="127">
        <f>'BẢNG CHẤM CÔNG T3'!H75</f>
        <v>0</v>
      </c>
      <c r="R75" s="127">
        <f>'BẢNG CHẤM CÔNG T3'!I75</f>
        <v>0</v>
      </c>
      <c r="S75" s="127">
        <f>'BẢNG CHẤM CÔNG T3'!J75</f>
        <v>0</v>
      </c>
      <c r="T75" s="127">
        <f>'BẢNG CHẤM CÔNG T3'!K75</f>
        <v>0</v>
      </c>
      <c r="U75" s="127">
        <f>'BẢNG CHẤM CÔNG T3'!L75</f>
        <v>0</v>
      </c>
      <c r="V75" s="127">
        <f>'BẢNG CHẤM CÔNG T3'!M75</f>
        <v>0</v>
      </c>
      <c r="W75" s="132">
        <f t="shared" si="22"/>
        <v>1540384.6153846155</v>
      </c>
      <c r="X75" s="132">
        <f t="shared" si="25"/>
        <v>882512.01923076925</v>
      </c>
      <c r="Y75" s="132">
        <f t="shared" si="17"/>
        <v>0</v>
      </c>
      <c r="Z75" s="132">
        <f t="shared" si="23"/>
        <v>0</v>
      </c>
      <c r="AA75" s="132">
        <f t="shared" si="26"/>
        <v>173076.92307692306</v>
      </c>
      <c r="AB75" s="132">
        <f t="shared" si="18"/>
        <v>86538.461538461532</v>
      </c>
      <c r="AC75" s="132">
        <f t="shared" si="27"/>
        <v>0</v>
      </c>
      <c r="AD75" s="132">
        <f t="shared" si="28"/>
        <v>0</v>
      </c>
      <c r="AE75" s="132">
        <f t="shared" si="24"/>
        <v>0</v>
      </c>
      <c r="AF75" s="132">
        <f t="shared" si="29"/>
        <v>173076.92307692306</v>
      </c>
      <c r="AG75" s="132">
        <f t="shared" si="30"/>
        <v>2855588.9423076925</v>
      </c>
      <c r="AH75" s="132"/>
      <c r="AI75" s="132">
        <f t="shared" si="31"/>
        <v>0</v>
      </c>
      <c r="AJ75" s="132"/>
      <c r="AK75" s="132"/>
      <c r="AL75" s="132"/>
      <c r="AM75" s="132">
        <f t="shared" si="19"/>
        <v>0</v>
      </c>
      <c r="AN75" s="180">
        <f t="shared" si="20"/>
        <v>2855588.9423076925</v>
      </c>
    </row>
    <row r="76" spans="1:40" hidden="1" x14ac:dyDescent="0.25">
      <c r="A76" s="59">
        <v>66</v>
      </c>
      <c r="B76" s="72" t="s">
        <v>166</v>
      </c>
      <c r="C76" s="73" t="s">
        <v>167</v>
      </c>
      <c r="D76" s="72">
        <v>26</v>
      </c>
      <c r="E76" s="131">
        <f t="shared" si="21"/>
        <v>5700000</v>
      </c>
      <c r="F76" s="128">
        <v>4450000</v>
      </c>
      <c r="G76" s="128">
        <v>500000</v>
      </c>
      <c r="H76" s="128">
        <v>250000</v>
      </c>
      <c r="I76" s="126"/>
      <c r="J76" s="126"/>
      <c r="K76" s="126"/>
      <c r="L76" s="126">
        <v>500000</v>
      </c>
      <c r="M76" s="127">
        <f>'BẢNG CHẤM CÔNG T3'!D76</f>
        <v>9</v>
      </c>
      <c r="N76" s="127">
        <f>'BẢNG CHẤM CÔNG T3'!E76</f>
        <v>28.5</v>
      </c>
      <c r="O76" s="127">
        <f>'BẢNG CHẤM CÔNG T3'!F76</f>
        <v>0</v>
      </c>
      <c r="P76" s="127">
        <f>'BẢNG CHẤM CÔNG T3'!G76</f>
        <v>0</v>
      </c>
      <c r="Q76" s="127">
        <f>'BẢNG CHẤM CÔNG T3'!H76</f>
        <v>8</v>
      </c>
      <c r="R76" s="127">
        <f>'BẢNG CHẤM CÔNG T3'!I76</f>
        <v>0</v>
      </c>
      <c r="S76" s="127">
        <f>'BẢNG CHẤM CÔNG T3'!J76</f>
        <v>0</v>
      </c>
      <c r="T76" s="127">
        <f>'BẢNG CHẤM CÔNG T3'!K76</f>
        <v>0</v>
      </c>
      <c r="U76" s="127">
        <f>'BẢNG CHẤM CÔNG T3'!L76</f>
        <v>0</v>
      </c>
      <c r="V76" s="127">
        <f>'BẢNG CHẤM CÔNG T3'!M76</f>
        <v>0</v>
      </c>
      <c r="W76" s="132">
        <f t="shared" si="22"/>
        <v>1540384.6153846155</v>
      </c>
      <c r="X76" s="132">
        <f t="shared" si="25"/>
        <v>914603.36538461526</v>
      </c>
      <c r="Y76" s="132">
        <f t="shared" si="17"/>
        <v>0</v>
      </c>
      <c r="Z76" s="132">
        <f t="shared" si="23"/>
        <v>342307.69230769231</v>
      </c>
      <c r="AA76" s="132">
        <f t="shared" si="26"/>
        <v>173076.92307692306</v>
      </c>
      <c r="AB76" s="132">
        <f t="shared" si="18"/>
        <v>86538.461538461532</v>
      </c>
      <c r="AC76" s="132">
        <f t="shared" si="27"/>
        <v>0</v>
      </c>
      <c r="AD76" s="132">
        <f t="shared" si="28"/>
        <v>0</v>
      </c>
      <c r="AE76" s="132">
        <f t="shared" si="24"/>
        <v>0</v>
      </c>
      <c r="AF76" s="132">
        <f t="shared" si="29"/>
        <v>173076.92307692306</v>
      </c>
      <c r="AG76" s="132">
        <f t="shared" si="30"/>
        <v>3229987.980769231</v>
      </c>
      <c r="AH76" s="132"/>
      <c r="AI76" s="132">
        <f t="shared" si="31"/>
        <v>0</v>
      </c>
      <c r="AJ76" s="132"/>
      <c r="AK76" s="132"/>
      <c r="AL76" s="132"/>
      <c r="AM76" s="132">
        <f t="shared" si="19"/>
        <v>0</v>
      </c>
      <c r="AN76" s="180">
        <f t="shared" si="20"/>
        <v>3229987.980769231</v>
      </c>
    </row>
    <row r="77" spans="1:40" hidden="1" x14ac:dyDescent="0.25">
      <c r="A77" s="59">
        <v>67</v>
      </c>
      <c r="B77" s="72" t="s">
        <v>160</v>
      </c>
      <c r="C77" s="73" t="s">
        <v>161</v>
      </c>
      <c r="D77" s="72">
        <v>26</v>
      </c>
      <c r="E77" s="131">
        <f t="shared" si="21"/>
        <v>5700000</v>
      </c>
      <c r="F77" s="128">
        <v>4450000</v>
      </c>
      <c r="G77" s="128">
        <v>500000</v>
      </c>
      <c r="H77" s="128">
        <v>250000</v>
      </c>
      <c r="I77" s="126"/>
      <c r="J77" s="126"/>
      <c r="K77" s="126"/>
      <c r="L77" s="126">
        <v>500000</v>
      </c>
      <c r="M77" s="127">
        <f>'BẢNG CHẤM CÔNG T3'!D77</f>
        <v>8</v>
      </c>
      <c r="N77" s="127">
        <f>'BẢNG CHẤM CÔNG T3'!E77</f>
        <v>11.5</v>
      </c>
      <c r="O77" s="127">
        <f>'BẢNG CHẤM CÔNG T3'!F77</f>
        <v>0</v>
      </c>
      <c r="P77" s="127">
        <f>'BẢNG CHẤM CÔNG T3'!G77</f>
        <v>0</v>
      </c>
      <c r="Q77" s="127">
        <f>'BẢNG CHẤM CÔNG T3'!H77</f>
        <v>0</v>
      </c>
      <c r="R77" s="127">
        <f>'BẢNG CHẤM CÔNG T3'!I77</f>
        <v>0</v>
      </c>
      <c r="S77" s="127">
        <f>'BẢNG CHẤM CÔNG T3'!J77</f>
        <v>1</v>
      </c>
      <c r="T77" s="127">
        <f>'BẢNG CHẤM CÔNG T3'!K77</f>
        <v>0</v>
      </c>
      <c r="U77" s="127">
        <f>'BẢNG CHẤM CÔNG T3'!L77</f>
        <v>0</v>
      </c>
      <c r="V77" s="127">
        <f>'BẢNG CHẤM CÔNG T3'!M77</f>
        <v>0</v>
      </c>
      <c r="W77" s="132">
        <f t="shared" si="22"/>
        <v>1369230.7692307692</v>
      </c>
      <c r="X77" s="132">
        <f t="shared" si="25"/>
        <v>369050.48076923075</v>
      </c>
      <c r="Y77" s="132">
        <f t="shared" si="17"/>
        <v>0</v>
      </c>
      <c r="Z77" s="132">
        <f t="shared" si="23"/>
        <v>0</v>
      </c>
      <c r="AA77" s="132">
        <f t="shared" si="26"/>
        <v>153846.15384615384</v>
      </c>
      <c r="AB77" s="132">
        <f t="shared" si="18"/>
        <v>76923.076923076922</v>
      </c>
      <c r="AC77" s="132">
        <f t="shared" si="27"/>
        <v>0</v>
      </c>
      <c r="AD77" s="132">
        <f t="shared" si="28"/>
        <v>0</v>
      </c>
      <c r="AE77" s="132">
        <f t="shared" si="24"/>
        <v>0</v>
      </c>
      <c r="AF77" s="132">
        <f t="shared" si="29"/>
        <v>153846.15384615384</v>
      </c>
      <c r="AG77" s="132">
        <f t="shared" si="30"/>
        <v>2122896.6346153845</v>
      </c>
      <c r="AH77" s="132"/>
      <c r="AI77" s="132">
        <f t="shared" si="31"/>
        <v>0</v>
      </c>
      <c r="AJ77" s="132"/>
      <c r="AK77" s="132"/>
      <c r="AL77" s="132"/>
      <c r="AM77" s="132">
        <f t="shared" si="19"/>
        <v>0</v>
      </c>
      <c r="AN77" s="183">
        <f t="shared" si="20"/>
        <v>2122896.6346153845</v>
      </c>
    </row>
    <row r="78" spans="1:40" hidden="1" x14ac:dyDescent="0.25">
      <c r="A78" s="59">
        <v>68</v>
      </c>
      <c r="B78" s="72" t="s">
        <v>162</v>
      </c>
      <c r="C78" s="73" t="s">
        <v>163</v>
      </c>
      <c r="D78" s="72">
        <v>26</v>
      </c>
      <c r="E78" s="131">
        <f t="shared" si="21"/>
        <v>5700000</v>
      </c>
      <c r="F78" s="128">
        <v>4450000</v>
      </c>
      <c r="G78" s="128">
        <v>500000</v>
      </c>
      <c r="H78" s="128">
        <v>250000</v>
      </c>
      <c r="I78" s="126"/>
      <c r="J78" s="126"/>
      <c r="K78" s="126"/>
      <c r="L78" s="126">
        <v>500000</v>
      </c>
      <c r="M78" s="127">
        <f>'BẢNG CHẤM CÔNG T3'!D78</f>
        <v>7</v>
      </c>
      <c r="N78" s="127">
        <f>'BẢNG CHẤM CÔNG T3'!E78</f>
        <v>19</v>
      </c>
      <c r="O78" s="127">
        <f>'BẢNG CHẤM CÔNG T3'!F78</f>
        <v>0</v>
      </c>
      <c r="P78" s="127">
        <f>'BẢNG CHẤM CÔNG T3'!G78</f>
        <v>0</v>
      </c>
      <c r="Q78" s="127">
        <f>'BẢNG CHẤM CÔNG T3'!H78</f>
        <v>16</v>
      </c>
      <c r="R78" s="127">
        <f>'BẢNG CHẤM CÔNG T3'!I78</f>
        <v>0</v>
      </c>
      <c r="S78" s="127">
        <f>'BẢNG CHẤM CÔNG T3'!J78</f>
        <v>0</v>
      </c>
      <c r="T78" s="127">
        <f>'BẢNG CHẤM CÔNG T3'!K78</f>
        <v>0</v>
      </c>
      <c r="U78" s="127">
        <f>'BẢNG CHẤM CÔNG T3'!L78</f>
        <v>0</v>
      </c>
      <c r="V78" s="127">
        <f>'BẢNG CHẤM CÔNG T3'!M78</f>
        <v>0</v>
      </c>
      <c r="W78" s="132">
        <f t="shared" si="22"/>
        <v>1198076.923076923</v>
      </c>
      <c r="X78" s="132">
        <f t="shared" si="25"/>
        <v>609735.57692307699</v>
      </c>
      <c r="Y78" s="132">
        <f t="shared" si="17"/>
        <v>0</v>
      </c>
      <c r="Z78" s="132">
        <f t="shared" si="23"/>
        <v>684615.38461538462</v>
      </c>
      <c r="AA78" s="132">
        <f t="shared" si="26"/>
        <v>134615.38461538462</v>
      </c>
      <c r="AB78" s="132">
        <f t="shared" si="18"/>
        <v>67307.692307692312</v>
      </c>
      <c r="AC78" s="132">
        <f t="shared" si="27"/>
        <v>0</v>
      </c>
      <c r="AD78" s="132">
        <f t="shared" si="28"/>
        <v>0</v>
      </c>
      <c r="AE78" s="132">
        <f t="shared" si="24"/>
        <v>0</v>
      </c>
      <c r="AF78" s="132">
        <f t="shared" si="29"/>
        <v>134615.38461538462</v>
      </c>
      <c r="AG78" s="132">
        <f t="shared" si="30"/>
        <v>2828966.346153846</v>
      </c>
      <c r="AH78" s="132"/>
      <c r="AI78" s="132">
        <f t="shared" si="31"/>
        <v>0</v>
      </c>
      <c r="AJ78" s="132"/>
      <c r="AK78" s="132"/>
      <c r="AL78" s="132"/>
      <c r="AM78" s="132">
        <f t="shared" si="19"/>
        <v>0</v>
      </c>
      <c r="AN78" s="183">
        <f t="shared" si="20"/>
        <v>2828966.346153846</v>
      </c>
    </row>
    <row r="79" spans="1:40" hidden="1" x14ac:dyDescent="0.25">
      <c r="A79" s="59">
        <v>69</v>
      </c>
      <c r="B79" s="72" t="s">
        <v>488</v>
      </c>
      <c r="C79" s="73" t="s">
        <v>490</v>
      </c>
      <c r="D79" s="72">
        <v>26</v>
      </c>
      <c r="E79" s="131">
        <f t="shared" si="21"/>
        <v>5700000</v>
      </c>
      <c r="F79" s="128">
        <v>4450000</v>
      </c>
      <c r="G79" s="128">
        <v>500000</v>
      </c>
      <c r="H79" s="128">
        <v>250000</v>
      </c>
      <c r="I79" s="126"/>
      <c r="J79" s="126"/>
      <c r="K79" s="126"/>
      <c r="L79" s="126">
        <v>500000</v>
      </c>
      <c r="M79" s="127">
        <f>'BẢNG CHẤM CÔNG T3'!D79</f>
        <v>10</v>
      </c>
      <c r="N79" s="127">
        <f>'BẢNG CHẤM CÔNG T3'!E79</f>
        <v>28.5</v>
      </c>
      <c r="O79" s="127">
        <f>'BẢNG CHẤM CÔNG T3'!F79</f>
        <v>0</v>
      </c>
      <c r="P79" s="127">
        <f>'BẢNG CHẤM CÔNG T3'!G79</f>
        <v>0</v>
      </c>
      <c r="Q79" s="127">
        <f>'BẢNG CHẤM CÔNG T3'!H79</f>
        <v>8</v>
      </c>
      <c r="R79" s="127">
        <f>'BẢNG CHẤM CÔNG T3'!I79</f>
        <v>0</v>
      </c>
      <c r="S79" s="127">
        <f>'BẢNG CHẤM CÔNG T3'!J79</f>
        <v>0</v>
      </c>
      <c r="T79" s="127">
        <f>'BẢNG CHẤM CÔNG T3'!K79</f>
        <v>0</v>
      </c>
      <c r="U79" s="127">
        <f>'BẢNG CHẤM CÔNG T3'!L79</f>
        <v>0</v>
      </c>
      <c r="V79" s="127">
        <f>'BẢNG CHẤM CÔNG T3'!M79</f>
        <v>0</v>
      </c>
      <c r="W79" s="132">
        <f t="shared" si="22"/>
        <v>1711538.4615384615</v>
      </c>
      <c r="X79" s="132">
        <f t="shared" si="25"/>
        <v>914603.36538461526</v>
      </c>
      <c r="Y79" s="132">
        <f t="shared" si="17"/>
        <v>0</v>
      </c>
      <c r="Z79" s="132">
        <f t="shared" si="23"/>
        <v>342307.69230769231</v>
      </c>
      <c r="AA79" s="132">
        <f t="shared" si="26"/>
        <v>192307.69230769231</v>
      </c>
      <c r="AB79" s="132">
        <f t="shared" si="18"/>
        <v>96153.846153846156</v>
      </c>
      <c r="AC79" s="132">
        <f t="shared" si="27"/>
        <v>0</v>
      </c>
      <c r="AD79" s="132">
        <f t="shared" si="28"/>
        <v>0</v>
      </c>
      <c r="AE79" s="132">
        <f t="shared" si="24"/>
        <v>0</v>
      </c>
      <c r="AF79" s="132">
        <f t="shared" si="29"/>
        <v>192307.69230769231</v>
      </c>
      <c r="AG79" s="132">
        <f t="shared" si="30"/>
        <v>3449218.7500000005</v>
      </c>
      <c r="AH79" s="132"/>
      <c r="AI79" s="132">
        <f t="shared" si="31"/>
        <v>0</v>
      </c>
      <c r="AJ79" s="132"/>
      <c r="AK79" s="132"/>
      <c r="AL79" s="132"/>
      <c r="AM79" s="132">
        <f t="shared" si="19"/>
        <v>0</v>
      </c>
      <c r="AN79" s="180">
        <f t="shared" si="20"/>
        <v>3449218.7500000005</v>
      </c>
    </row>
    <row r="80" spans="1:40" hidden="1" x14ac:dyDescent="0.25">
      <c r="A80" s="59">
        <v>70</v>
      </c>
      <c r="B80" s="72" t="s">
        <v>491</v>
      </c>
      <c r="C80" s="73" t="s">
        <v>492</v>
      </c>
      <c r="D80" s="72">
        <v>26</v>
      </c>
      <c r="E80" s="131">
        <f t="shared" si="21"/>
        <v>5700000</v>
      </c>
      <c r="F80" s="128">
        <v>4450000</v>
      </c>
      <c r="G80" s="128">
        <v>500000</v>
      </c>
      <c r="H80" s="128">
        <v>250000</v>
      </c>
      <c r="I80" s="126"/>
      <c r="J80" s="126"/>
      <c r="K80" s="126"/>
      <c r="L80" s="126">
        <v>500000</v>
      </c>
      <c r="M80" s="127">
        <f>'BẢNG CHẤM CÔNG T3'!D80</f>
        <v>5</v>
      </c>
      <c r="N80" s="127">
        <f>'BẢNG CHẤM CÔNG T3'!E80</f>
        <v>17.5</v>
      </c>
      <c r="O80" s="127">
        <f>'BẢNG CHẤM CÔNG T3'!F80</f>
        <v>0</v>
      </c>
      <c r="P80" s="127">
        <f>'BẢNG CHẤM CÔNG T3'!G80</f>
        <v>0</v>
      </c>
      <c r="Q80" s="127">
        <f>'BẢNG CHẤM CÔNG T3'!H80</f>
        <v>8</v>
      </c>
      <c r="R80" s="127">
        <f>'BẢNG CHẤM CÔNG T3'!I80</f>
        <v>0</v>
      </c>
      <c r="S80" s="127">
        <f>'BẢNG CHẤM CÔNG T3'!J80</f>
        <v>0</v>
      </c>
      <c r="T80" s="127">
        <f>'BẢNG CHẤM CÔNG T3'!K80</f>
        <v>0</v>
      </c>
      <c r="U80" s="127">
        <f>'BẢNG CHẤM CÔNG T3'!L80</f>
        <v>0</v>
      </c>
      <c r="V80" s="127">
        <f>'BẢNG CHẤM CÔNG T3'!M80</f>
        <v>0</v>
      </c>
      <c r="W80" s="132">
        <f t="shared" si="22"/>
        <v>855769.23076923075</v>
      </c>
      <c r="X80" s="132">
        <f t="shared" si="25"/>
        <v>561598.55769230763</v>
      </c>
      <c r="Y80" s="132">
        <f t="shared" si="17"/>
        <v>0</v>
      </c>
      <c r="Z80" s="132">
        <f t="shared" si="23"/>
        <v>342307.69230769231</v>
      </c>
      <c r="AA80" s="132">
        <f t="shared" si="26"/>
        <v>96153.846153846156</v>
      </c>
      <c r="AB80" s="132">
        <f t="shared" si="18"/>
        <v>48076.923076923078</v>
      </c>
      <c r="AC80" s="132">
        <f t="shared" si="27"/>
        <v>0</v>
      </c>
      <c r="AD80" s="132">
        <f t="shared" si="28"/>
        <v>0</v>
      </c>
      <c r="AE80" s="132">
        <f t="shared" si="24"/>
        <v>0</v>
      </c>
      <c r="AF80" s="132">
        <f t="shared" si="29"/>
        <v>96153.846153846156</v>
      </c>
      <c r="AG80" s="132">
        <f t="shared" si="30"/>
        <v>2000060.0961538462</v>
      </c>
      <c r="AH80" s="132"/>
      <c r="AI80" s="132">
        <f t="shared" si="31"/>
        <v>0</v>
      </c>
      <c r="AJ80" s="132"/>
      <c r="AK80" s="132"/>
      <c r="AL80" s="132"/>
      <c r="AM80" s="132">
        <f t="shared" si="19"/>
        <v>0</v>
      </c>
      <c r="AN80" s="183">
        <f t="shared" si="20"/>
        <v>2000060.0961538462</v>
      </c>
    </row>
    <row r="81" spans="1:41" s="150" customFormat="1" hidden="1" x14ac:dyDescent="0.25">
      <c r="A81" s="143">
        <v>71</v>
      </c>
      <c r="B81" s="144" t="s">
        <v>493</v>
      </c>
      <c r="C81" s="145" t="s">
        <v>494</v>
      </c>
      <c r="D81" s="144">
        <v>26</v>
      </c>
      <c r="E81" s="146">
        <f t="shared" si="21"/>
        <v>5700000</v>
      </c>
      <c r="F81" s="147">
        <v>4450000</v>
      </c>
      <c r="G81" s="147">
        <v>500000</v>
      </c>
      <c r="H81" s="147">
        <v>250000</v>
      </c>
      <c r="I81" s="147"/>
      <c r="J81" s="147"/>
      <c r="K81" s="147"/>
      <c r="L81" s="147">
        <v>500000</v>
      </c>
      <c r="M81" s="148">
        <f>'BẢNG CHẤM CÔNG T3'!D81</f>
        <v>3</v>
      </c>
      <c r="N81" s="148">
        <f>'BẢNG CHẤM CÔNG T3'!E81</f>
        <v>7</v>
      </c>
      <c r="O81" s="148">
        <f>'BẢNG CHẤM CÔNG T3'!F81</f>
        <v>0</v>
      </c>
      <c r="P81" s="148">
        <f>'BẢNG CHẤM CÔNG T3'!G81</f>
        <v>0</v>
      </c>
      <c r="Q81" s="148">
        <f>'BẢNG CHẤM CÔNG T3'!H81</f>
        <v>0</v>
      </c>
      <c r="R81" s="148">
        <f>'BẢNG CHẤM CÔNG T3'!I81</f>
        <v>0</v>
      </c>
      <c r="S81" s="148">
        <f>'BẢNG CHẤM CÔNG T3'!J81</f>
        <v>0</v>
      </c>
      <c r="T81" s="148">
        <f>'BẢNG CHẤM CÔNG T3'!K81</f>
        <v>0</v>
      </c>
      <c r="U81" s="148">
        <f>'BẢNG CHẤM CÔNG T3'!L81</f>
        <v>0</v>
      </c>
      <c r="V81" s="148">
        <f>'BẢNG CHẤM CÔNG T3'!M81</f>
        <v>0</v>
      </c>
      <c r="W81" s="149">
        <f t="shared" si="22"/>
        <v>513461.5384615385</v>
      </c>
      <c r="X81" s="149">
        <f t="shared" si="25"/>
        <v>224639.42307692306</v>
      </c>
      <c r="Y81" s="149">
        <f t="shared" si="17"/>
        <v>0</v>
      </c>
      <c r="Z81" s="149">
        <f t="shared" si="23"/>
        <v>0</v>
      </c>
      <c r="AA81" s="149">
        <f t="shared" si="26"/>
        <v>57692.307692307688</v>
      </c>
      <c r="AB81" s="149">
        <f t="shared" si="18"/>
        <v>28846.153846153844</v>
      </c>
      <c r="AC81" s="149">
        <f t="shared" si="27"/>
        <v>0</v>
      </c>
      <c r="AD81" s="149">
        <f t="shared" si="28"/>
        <v>0</v>
      </c>
      <c r="AE81" s="149">
        <f t="shared" si="24"/>
        <v>0</v>
      </c>
      <c r="AF81" s="149">
        <f t="shared" si="29"/>
        <v>57692.307692307688</v>
      </c>
      <c r="AG81" s="149">
        <f t="shared" si="30"/>
        <v>882331.73076923075</v>
      </c>
      <c r="AH81" s="149"/>
      <c r="AI81" s="149">
        <f t="shared" si="31"/>
        <v>0</v>
      </c>
      <c r="AJ81" s="149"/>
      <c r="AK81" s="149"/>
      <c r="AL81" s="149"/>
      <c r="AM81" s="149">
        <f t="shared" si="19"/>
        <v>0</v>
      </c>
      <c r="AN81" s="184">
        <f t="shared" si="20"/>
        <v>882331.73076923075</v>
      </c>
    </row>
    <row r="82" spans="1:41" s="150" customFormat="1" hidden="1" x14ac:dyDescent="0.25">
      <c r="A82" s="143">
        <v>72</v>
      </c>
      <c r="B82" s="144" t="s">
        <v>495</v>
      </c>
      <c r="C82" s="145" t="s">
        <v>497</v>
      </c>
      <c r="D82" s="144">
        <v>26</v>
      </c>
      <c r="E82" s="146">
        <f t="shared" si="21"/>
        <v>5700000</v>
      </c>
      <c r="F82" s="147">
        <v>4450000</v>
      </c>
      <c r="G82" s="147">
        <v>500000</v>
      </c>
      <c r="H82" s="147">
        <v>250000</v>
      </c>
      <c r="I82" s="147"/>
      <c r="J82" s="147"/>
      <c r="K82" s="147"/>
      <c r="L82" s="147">
        <v>500000</v>
      </c>
      <c r="M82" s="148">
        <f>'BẢNG CHẤM CÔNG T3'!D82</f>
        <v>3</v>
      </c>
      <c r="N82" s="148">
        <f>'BẢNG CHẤM CÔNG T3'!E82</f>
        <v>10</v>
      </c>
      <c r="O82" s="148">
        <f>'BẢNG CHẤM CÔNG T3'!F82</f>
        <v>0</v>
      </c>
      <c r="P82" s="148">
        <f>'BẢNG CHẤM CÔNG T3'!G82</f>
        <v>0</v>
      </c>
      <c r="Q82" s="148">
        <f>'BẢNG CHẤM CÔNG T3'!H82</f>
        <v>8</v>
      </c>
      <c r="R82" s="148">
        <f>'BẢNG CHẤM CÔNG T3'!I82</f>
        <v>0</v>
      </c>
      <c r="S82" s="148">
        <f>'BẢNG CHẤM CÔNG T3'!J82</f>
        <v>0</v>
      </c>
      <c r="T82" s="148">
        <f>'BẢNG CHẤM CÔNG T3'!K82</f>
        <v>0</v>
      </c>
      <c r="U82" s="148">
        <f>'BẢNG CHẤM CÔNG T3'!L82</f>
        <v>0</v>
      </c>
      <c r="V82" s="148">
        <f>'BẢNG CHẤM CÔNG T3'!M82</f>
        <v>0</v>
      </c>
      <c r="W82" s="149">
        <f t="shared" si="22"/>
        <v>513461.5384615385</v>
      </c>
      <c r="X82" s="149">
        <f t="shared" si="25"/>
        <v>320913.4615384615</v>
      </c>
      <c r="Y82" s="149">
        <f t="shared" si="17"/>
        <v>0</v>
      </c>
      <c r="Z82" s="149">
        <f t="shared" si="23"/>
        <v>342307.69230769231</v>
      </c>
      <c r="AA82" s="149">
        <f t="shared" si="26"/>
        <v>57692.307692307688</v>
      </c>
      <c r="AB82" s="149">
        <f t="shared" si="18"/>
        <v>28846.153846153844</v>
      </c>
      <c r="AC82" s="149">
        <f t="shared" si="27"/>
        <v>0</v>
      </c>
      <c r="AD82" s="149">
        <f t="shared" si="28"/>
        <v>0</v>
      </c>
      <c r="AE82" s="149">
        <f t="shared" si="24"/>
        <v>0</v>
      </c>
      <c r="AF82" s="149">
        <f t="shared" si="29"/>
        <v>57692.307692307688</v>
      </c>
      <c r="AG82" s="149">
        <f t="shared" si="30"/>
        <v>1320913.4615384615</v>
      </c>
      <c r="AH82" s="149"/>
      <c r="AI82" s="149">
        <f t="shared" si="31"/>
        <v>0</v>
      </c>
      <c r="AJ82" s="149"/>
      <c r="AK82" s="149"/>
      <c r="AL82" s="149"/>
      <c r="AM82" s="149">
        <f t="shared" si="19"/>
        <v>0</v>
      </c>
      <c r="AN82" s="184">
        <f t="shared" si="20"/>
        <v>1320913.4615384615</v>
      </c>
    </row>
    <row r="83" spans="1:41" s="150" customFormat="1" hidden="1" x14ac:dyDescent="0.25">
      <c r="A83" s="143">
        <v>73</v>
      </c>
      <c r="B83" s="144" t="s">
        <v>496</v>
      </c>
      <c r="C83" s="145" t="s">
        <v>498</v>
      </c>
      <c r="D83" s="144">
        <v>26</v>
      </c>
      <c r="E83" s="146">
        <f t="shared" si="21"/>
        <v>5700000</v>
      </c>
      <c r="F83" s="147">
        <v>4450000</v>
      </c>
      <c r="G83" s="147">
        <v>500000</v>
      </c>
      <c r="H83" s="147">
        <v>250000</v>
      </c>
      <c r="I83" s="147"/>
      <c r="J83" s="147"/>
      <c r="K83" s="147"/>
      <c r="L83" s="147">
        <v>500000</v>
      </c>
      <c r="M83" s="148">
        <f>'BẢNG CHẤM CÔNG T3'!D83</f>
        <v>3</v>
      </c>
      <c r="N83" s="148">
        <f>'BẢNG CHẤM CÔNG T3'!E83</f>
        <v>10</v>
      </c>
      <c r="O83" s="148">
        <f>'BẢNG CHẤM CÔNG T3'!F83</f>
        <v>0</v>
      </c>
      <c r="P83" s="148">
        <f>'BẢNG CHẤM CÔNG T3'!G83</f>
        <v>0</v>
      </c>
      <c r="Q83" s="148">
        <f>'BẢNG CHẤM CÔNG T3'!H83</f>
        <v>8</v>
      </c>
      <c r="R83" s="148">
        <f>'BẢNG CHẤM CÔNG T3'!I83</f>
        <v>0</v>
      </c>
      <c r="S83" s="148">
        <f>'BẢNG CHẤM CÔNG T3'!J83</f>
        <v>0</v>
      </c>
      <c r="T83" s="148">
        <f>'BẢNG CHẤM CÔNG T3'!K83</f>
        <v>0</v>
      </c>
      <c r="U83" s="148">
        <f>'BẢNG CHẤM CÔNG T3'!L83</f>
        <v>0</v>
      </c>
      <c r="V83" s="148">
        <f>'BẢNG CHẤM CÔNG T3'!M83</f>
        <v>0</v>
      </c>
      <c r="W83" s="149">
        <f t="shared" si="22"/>
        <v>513461.5384615385</v>
      </c>
      <c r="X83" s="149">
        <f t="shared" si="25"/>
        <v>320913.4615384615</v>
      </c>
      <c r="Y83" s="149">
        <f t="shared" si="17"/>
        <v>0</v>
      </c>
      <c r="Z83" s="149">
        <f t="shared" si="23"/>
        <v>342307.69230769231</v>
      </c>
      <c r="AA83" s="149">
        <f t="shared" si="26"/>
        <v>57692.307692307688</v>
      </c>
      <c r="AB83" s="149">
        <f t="shared" si="18"/>
        <v>28846.153846153844</v>
      </c>
      <c r="AC83" s="149">
        <f t="shared" si="27"/>
        <v>0</v>
      </c>
      <c r="AD83" s="149">
        <f t="shared" si="28"/>
        <v>0</v>
      </c>
      <c r="AE83" s="149">
        <f t="shared" si="24"/>
        <v>0</v>
      </c>
      <c r="AF83" s="149">
        <f t="shared" si="29"/>
        <v>57692.307692307688</v>
      </c>
      <c r="AG83" s="149">
        <f t="shared" si="30"/>
        <v>1320913.4615384615</v>
      </c>
      <c r="AH83" s="149"/>
      <c r="AI83" s="149">
        <f t="shared" si="31"/>
        <v>0</v>
      </c>
      <c r="AJ83" s="149"/>
      <c r="AK83" s="149"/>
      <c r="AL83" s="149"/>
      <c r="AM83" s="149">
        <f t="shared" si="19"/>
        <v>0</v>
      </c>
      <c r="AN83" s="184">
        <f t="shared" si="20"/>
        <v>1320913.4615384615</v>
      </c>
    </row>
    <row r="84" spans="1:41" hidden="1" x14ac:dyDescent="0.25">
      <c r="A84" s="59">
        <v>74</v>
      </c>
      <c r="B84" s="72" t="s">
        <v>469</v>
      </c>
      <c r="C84" s="73" t="s">
        <v>470</v>
      </c>
      <c r="D84" s="72">
        <v>26</v>
      </c>
      <c r="E84" s="131">
        <f t="shared" si="21"/>
        <v>5200000</v>
      </c>
      <c r="F84" s="128">
        <v>4450000</v>
      </c>
      <c r="G84" s="128">
        <v>500000</v>
      </c>
      <c r="H84" s="128">
        <v>250000</v>
      </c>
      <c r="I84" s="126"/>
      <c r="J84" s="126"/>
      <c r="K84" s="126"/>
      <c r="L84" s="126"/>
      <c r="M84" s="127">
        <f>'BẢNG CHẤM CÔNG T3'!D84</f>
        <v>5</v>
      </c>
      <c r="N84" s="127">
        <f>'BẢNG CHẤM CÔNG T3'!E84</f>
        <v>17</v>
      </c>
      <c r="O84" s="127">
        <f>'BẢNG CHẤM CÔNG T3'!F84</f>
        <v>0</v>
      </c>
      <c r="P84" s="127">
        <f>'BẢNG CHẤM CÔNG T3'!G84</f>
        <v>0</v>
      </c>
      <c r="Q84" s="127">
        <f>'BẢNG CHẤM CÔNG T3'!H84</f>
        <v>0</v>
      </c>
      <c r="R84" s="127">
        <f>'BẢNG CHẤM CÔNG T3'!I84</f>
        <v>0</v>
      </c>
      <c r="S84" s="127">
        <f>'BẢNG CHẤM CÔNG T3'!J84</f>
        <v>0</v>
      </c>
      <c r="T84" s="127">
        <f>'BẢNG CHẤM CÔNG T3'!K84</f>
        <v>0</v>
      </c>
      <c r="U84" s="127">
        <f>'BẢNG CHẤM CÔNG T3'!L84</f>
        <v>0</v>
      </c>
      <c r="V84" s="127">
        <f>'BẢNG CHẤM CÔNG T3'!M84</f>
        <v>0</v>
      </c>
      <c r="W84" s="132">
        <f t="shared" si="22"/>
        <v>855769.23076923075</v>
      </c>
      <c r="X84" s="132">
        <f t="shared" si="25"/>
        <v>545552.88461538462</v>
      </c>
      <c r="Y84" s="132">
        <f t="shared" si="17"/>
        <v>0</v>
      </c>
      <c r="Z84" s="132">
        <f t="shared" si="23"/>
        <v>0</v>
      </c>
      <c r="AA84" s="132">
        <f t="shared" si="26"/>
        <v>96153.846153846156</v>
      </c>
      <c r="AB84" s="132">
        <f t="shared" si="18"/>
        <v>48076.923076923078</v>
      </c>
      <c r="AC84" s="132">
        <f t="shared" si="27"/>
        <v>0</v>
      </c>
      <c r="AD84" s="132">
        <f t="shared" si="28"/>
        <v>0</v>
      </c>
      <c r="AE84" s="132">
        <f t="shared" si="24"/>
        <v>0</v>
      </c>
      <c r="AF84" s="132">
        <f t="shared" si="29"/>
        <v>0</v>
      </c>
      <c r="AG84" s="132">
        <f t="shared" si="30"/>
        <v>1545552.8846153847</v>
      </c>
      <c r="AH84" s="132">
        <v>975360.57692307699</v>
      </c>
      <c r="AI84" s="132">
        <f t="shared" si="31"/>
        <v>0</v>
      </c>
      <c r="AJ84" s="132"/>
      <c r="AK84" s="132"/>
      <c r="AL84" s="132"/>
      <c r="AM84" s="132">
        <f t="shared" si="19"/>
        <v>0</v>
      </c>
      <c r="AN84" s="183">
        <f>AG84-AM84+AH84</f>
        <v>2520913.461538462</v>
      </c>
    </row>
    <row r="85" spans="1:41" hidden="1" x14ac:dyDescent="0.25">
      <c r="A85" s="59">
        <v>75</v>
      </c>
      <c r="B85" s="72" t="s">
        <v>476</v>
      </c>
      <c r="C85" s="73" t="s">
        <v>468</v>
      </c>
      <c r="D85" s="72">
        <v>26</v>
      </c>
      <c r="E85" s="131">
        <f t="shared" si="21"/>
        <v>5200000</v>
      </c>
      <c r="F85" s="128">
        <v>4450000</v>
      </c>
      <c r="G85" s="128">
        <v>500000</v>
      </c>
      <c r="H85" s="128">
        <v>250000</v>
      </c>
      <c r="I85" s="126"/>
      <c r="J85" s="126"/>
      <c r="K85" s="126"/>
      <c r="L85" s="126"/>
      <c r="M85" s="127">
        <f>'BẢNG CHẤM CÔNG T3'!D85</f>
        <v>5</v>
      </c>
      <c r="N85" s="127">
        <f>'BẢNG CHẤM CÔNG T3'!E85</f>
        <v>5</v>
      </c>
      <c r="O85" s="127">
        <f>'BẢNG CHẤM CÔNG T3'!F85</f>
        <v>0</v>
      </c>
      <c r="P85" s="127">
        <f>'BẢNG CHẤM CÔNG T3'!G85</f>
        <v>0</v>
      </c>
      <c r="Q85" s="127">
        <f>'BẢNG CHẤM CÔNG T3'!H85</f>
        <v>0</v>
      </c>
      <c r="R85" s="127">
        <f>'BẢNG CHẤM CÔNG T3'!I85</f>
        <v>0</v>
      </c>
      <c r="S85" s="127">
        <f>'BẢNG CHẤM CÔNG T3'!J85</f>
        <v>0</v>
      </c>
      <c r="T85" s="127">
        <f>'BẢNG CHẤM CÔNG T3'!K85</f>
        <v>0</v>
      </c>
      <c r="U85" s="127">
        <f>'BẢNG CHẤM CÔNG T3'!L85</f>
        <v>0</v>
      </c>
      <c r="V85" s="127">
        <f>'BẢNG CHẤM CÔNG T3'!M85</f>
        <v>0</v>
      </c>
      <c r="W85" s="132">
        <f t="shared" si="22"/>
        <v>855769.23076923075</v>
      </c>
      <c r="X85" s="132">
        <f t="shared" si="25"/>
        <v>160456.73076923075</v>
      </c>
      <c r="Y85" s="132">
        <f t="shared" si="17"/>
        <v>0</v>
      </c>
      <c r="Z85" s="132">
        <f t="shared" si="23"/>
        <v>0</v>
      </c>
      <c r="AA85" s="132">
        <f t="shared" si="26"/>
        <v>96153.846153846156</v>
      </c>
      <c r="AB85" s="132">
        <f t="shared" si="18"/>
        <v>48076.923076923078</v>
      </c>
      <c r="AC85" s="132">
        <f t="shared" si="27"/>
        <v>0</v>
      </c>
      <c r="AD85" s="132">
        <f t="shared" si="28"/>
        <v>0</v>
      </c>
      <c r="AE85" s="132">
        <f t="shared" si="24"/>
        <v>0</v>
      </c>
      <c r="AF85" s="132">
        <f t="shared" si="29"/>
        <v>0</v>
      </c>
      <c r="AG85" s="132">
        <f t="shared" si="30"/>
        <v>1160456.7307692308</v>
      </c>
      <c r="AH85" s="132"/>
      <c r="AI85" s="132">
        <f t="shared" si="31"/>
        <v>0</v>
      </c>
      <c r="AJ85" s="132"/>
      <c r="AK85" s="132"/>
      <c r="AL85" s="132"/>
      <c r="AM85" s="132">
        <f t="shared" si="19"/>
        <v>0</v>
      </c>
      <c r="AN85" s="183">
        <f t="shared" si="20"/>
        <v>1160456.7307692308</v>
      </c>
    </row>
    <row r="86" spans="1:41" hidden="1" x14ac:dyDescent="0.25">
      <c r="A86" s="59">
        <v>76</v>
      </c>
      <c r="B86" s="72" t="s">
        <v>484</v>
      </c>
      <c r="C86" s="73" t="s">
        <v>103</v>
      </c>
      <c r="D86" s="72">
        <v>26</v>
      </c>
      <c r="E86" s="131">
        <f t="shared" ref="E86:E87" si="32">SUM(F86:L86)</f>
        <v>5200000</v>
      </c>
      <c r="F86" s="128">
        <v>4450000</v>
      </c>
      <c r="G86" s="128">
        <v>500000</v>
      </c>
      <c r="H86" s="128">
        <v>250000</v>
      </c>
      <c r="I86" s="126"/>
      <c r="J86" s="126"/>
      <c r="K86" s="126"/>
      <c r="L86" s="126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32">
        <f t="shared" si="22"/>
        <v>0</v>
      </c>
      <c r="X86" s="132">
        <f t="shared" si="25"/>
        <v>0</v>
      </c>
      <c r="Y86" s="132">
        <f t="shared" si="17"/>
        <v>0</v>
      </c>
      <c r="Z86" s="132">
        <f t="shared" si="23"/>
        <v>0</v>
      </c>
      <c r="AA86" s="132">
        <f t="shared" si="26"/>
        <v>0</v>
      </c>
      <c r="AB86" s="132">
        <f t="shared" si="18"/>
        <v>0</v>
      </c>
      <c r="AC86" s="132">
        <f t="shared" si="27"/>
        <v>0</v>
      </c>
      <c r="AD86" s="132">
        <f t="shared" si="28"/>
        <v>0</v>
      </c>
      <c r="AE86" s="132">
        <f t="shared" si="24"/>
        <v>0</v>
      </c>
      <c r="AF86" s="132">
        <f t="shared" si="29"/>
        <v>0</v>
      </c>
      <c r="AG86" s="132">
        <f t="shared" si="30"/>
        <v>0</v>
      </c>
      <c r="AH86" s="132"/>
      <c r="AI86" s="132">
        <f t="shared" si="31"/>
        <v>0</v>
      </c>
      <c r="AJ86" s="132"/>
      <c r="AK86" s="132"/>
      <c r="AL86" s="132"/>
      <c r="AM86" s="132">
        <f t="shared" si="19"/>
        <v>0</v>
      </c>
      <c r="AN86" s="141">
        <f t="shared" si="20"/>
        <v>0</v>
      </c>
    </row>
    <row r="87" spans="1:41" hidden="1" x14ac:dyDescent="0.25">
      <c r="A87" s="59">
        <v>77</v>
      </c>
      <c r="B87" s="72" t="s">
        <v>485</v>
      </c>
      <c r="C87" s="73" t="s">
        <v>481</v>
      </c>
      <c r="D87" s="72">
        <v>26</v>
      </c>
      <c r="E87" s="131">
        <f t="shared" si="32"/>
        <v>5200000</v>
      </c>
      <c r="F87" s="128">
        <v>4450000</v>
      </c>
      <c r="G87" s="128">
        <v>500000</v>
      </c>
      <c r="H87" s="128">
        <v>250000</v>
      </c>
      <c r="I87" s="126"/>
      <c r="J87" s="126"/>
      <c r="K87" s="126"/>
      <c r="L87" s="126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32">
        <f t="shared" si="22"/>
        <v>0</v>
      </c>
      <c r="X87" s="132">
        <f t="shared" si="25"/>
        <v>0</v>
      </c>
      <c r="Y87" s="132">
        <f t="shared" si="17"/>
        <v>0</v>
      </c>
      <c r="Z87" s="132">
        <f t="shared" si="23"/>
        <v>0</v>
      </c>
      <c r="AA87" s="132">
        <f t="shared" si="26"/>
        <v>0</v>
      </c>
      <c r="AB87" s="132">
        <f t="shared" si="18"/>
        <v>0</v>
      </c>
      <c r="AC87" s="132">
        <f t="shared" si="27"/>
        <v>0</v>
      </c>
      <c r="AD87" s="132">
        <f t="shared" si="28"/>
        <v>0</v>
      </c>
      <c r="AE87" s="132">
        <f t="shared" si="24"/>
        <v>0</v>
      </c>
      <c r="AF87" s="132">
        <f t="shared" si="29"/>
        <v>0</v>
      </c>
      <c r="AG87" s="132">
        <f t="shared" si="30"/>
        <v>0</v>
      </c>
      <c r="AH87" s="132"/>
      <c r="AI87" s="132">
        <f t="shared" si="31"/>
        <v>0</v>
      </c>
      <c r="AJ87" s="132"/>
      <c r="AK87" s="132"/>
      <c r="AL87" s="132"/>
      <c r="AM87" s="132">
        <f t="shared" si="19"/>
        <v>0</v>
      </c>
      <c r="AN87" s="141">
        <f t="shared" si="20"/>
        <v>0</v>
      </c>
    </row>
    <row r="88" spans="1:41" hidden="1" x14ac:dyDescent="0.25">
      <c r="A88" s="59">
        <v>78</v>
      </c>
      <c r="B88" s="72" t="s">
        <v>486</v>
      </c>
      <c r="C88" s="73" t="s">
        <v>483</v>
      </c>
      <c r="D88" s="72">
        <v>26</v>
      </c>
      <c r="E88" s="131">
        <f t="shared" si="21"/>
        <v>5200000</v>
      </c>
      <c r="F88" s="128">
        <v>4450000</v>
      </c>
      <c r="G88" s="128">
        <v>500000</v>
      </c>
      <c r="H88" s="128">
        <v>250000</v>
      </c>
      <c r="I88" s="126"/>
      <c r="J88" s="126"/>
      <c r="K88" s="126"/>
      <c r="L88" s="126"/>
      <c r="M88" s="127">
        <f>'BẢNG CHẤM CÔNG T3'!D88</f>
        <v>5</v>
      </c>
      <c r="N88" s="127">
        <f>'BẢNG CHẤM CÔNG T3'!E88</f>
        <v>6</v>
      </c>
      <c r="O88" s="127">
        <f>'BẢNG CHẤM CÔNG T3'!F88</f>
        <v>0</v>
      </c>
      <c r="P88" s="127">
        <f>'BẢNG CHẤM CÔNG T3'!G88</f>
        <v>0</v>
      </c>
      <c r="Q88" s="127">
        <f>'BẢNG CHẤM CÔNG T3'!H88</f>
        <v>0</v>
      </c>
      <c r="R88" s="127">
        <f>'BẢNG CHẤM CÔNG T3'!I88</f>
        <v>0</v>
      </c>
      <c r="S88" s="127">
        <f>'BẢNG CHẤM CÔNG T3'!J88</f>
        <v>0</v>
      </c>
      <c r="T88" s="127">
        <f>'BẢNG CHẤM CÔNG T3'!K88</f>
        <v>0</v>
      </c>
      <c r="U88" s="127">
        <f>'BẢNG CHẤM CÔNG T3'!L88</f>
        <v>0</v>
      </c>
      <c r="V88" s="127">
        <f>'BẢNG CHẤM CÔNG T3'!M88</f>
        <v>0</v>
      </c>
      <c r="W88" s="132">
        <f t="shared" si="22"/>
        <v>855769.23076923075</v>
      </c>
      <c r="X88" s="132">
        <f t="shared" si="25"/>
        <v>192548.07692307694</v>
      </c>
      <c r="Y88" s="132">
        <f t="shared" si="17"/>
        <v>0</v>
      </c>
      <c r="Z88" s="132">
        <f>F88/D88/8*Q88*2</f>
        <v>0</v>
      </c>
      <c r="AA88" s="132">
        <f t="shared" si="26"/>
        <v>96153.846153846156</v>
      </c>
      <c r="AB88" s="132">
        <f t="shared" si="18"/>
        <v>48076.923076923078</v>
      </c>
      <c r="AC88" s="132">
        <f t="shared" si="27"/>
        <v>0</v>
      </c>
      <c r="AD88" s="132">
        <f t="shared" si="28"/>
        <v>0</v>
      </c>
      <c r="AE88" s="132">
        <f t="shared" si="24"/>
        <v>0</v>
      </c>
      <c r="AF88" s="132">
        <f t="shared" si="29"/>
        <v>0</v>
      </c>
      <c r="AG88" s="132">
        <f t="shared" si="30"/>
        <v>1192548.076923077</v>
      </c>
      <c r="AH88" s="132"/>
      <c r="AI88" s="132">
        <f t="shared" si="31"/>
        <v>0</v>
      </c>
      <c r="AJ88" s="132"/>
      <c r="AK88" s="132"/>
      <c r="AL88" s="132"/>
      <c r="AM88" s="132">
        <f t="shared" si="19"/>
        <v>0</v>
      </c>
      <c r="AN88" s="141">
        <v>1192548.076923077</v>
      </c>
    </row>
    <row r="89" spans="1:41" ht="15" hidden="1" customHeight="1" x14ac:dyDescent="0.25">
      <c r="A89" s="397" t="s">
        <v>520</v>
      </c>
      <c r="B89" s="398"/>
      <c r="C89" s="398"/>
      <c r="D89" s="398"/>
      <c r="E89" s="398"/>
      <c r="F89" s="398"/>
      <c r="G89" s="398"/>
      <c r="H89" s="398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98"/>
      <c r="T89" s="398"/>
      <c r="U89" s="398"/>
      <c r="V89" s="398"/>
      <c r="W89" s="398"/>
      <c r="X89" s="398"/>
      <c r="Y89" s="398"/>
      <c r="Z89" s="398"/>
      <c r="AA89" s="398"/>
      <c r="AB89" s="398"/>
      <c r="AC89" s="398"/>
      <c r="AD89" s="398"/>
      <c r="AE89" s="398"/>
      <c r="AF89" s="398"/>
      <c r="AG89" s="398"/>
      <c r="AH89" s="398"/>
      <c r="AI89" s="398"/>
      <c r="AJ89" s="398"/>
      <c r="AK89" s="398"/>
      <c r="AL89" s="398"/>
      <c r="AM89" s="398"/>
      <c r="AN89" s="399"/>
    </row>
    <row r="90" spans="1:41" hidden="1" x14ac:dyDescent="0.25">
      <c r="A90" s="59">
        <v>80</v>
      </c>
      <c r="B90" s="72" t="s">
        <v>466</v>
      </c>
      <c r="C90" s="73" t="s">
        <v>467</v>
      </c>
      <c r="D90" s="72">
        <v>26</v>
      </c>
      <c r="E90" s="131">
        <f>SUM(F90:L90)</f>
        <v>7000000</v>
      </c>
      <c r="F90" s="126">
        <v>4450000</v>
      </c>
      <c r="G90" s="126">
        <v>500000</v>
      </c>
      <c r="H90" s="126">
        <v>250000</v>
      </c>
      <c r="I90" s="126">
        <v>300000</v>
      </c>
      <c r="J90" s="126"/>
      <c r="K90" s="126">
        <v>500000</v>
      </c>
      <c r="L90" s="126">
        <v>1000000</v>
      </c>
      <c r="M90" s="127">
        <f>'BẢNG CHẤM CÔNG T3'!D91</f>
        <v>26</v>
      </c>
      <c r="N90" s="127">
        <f>'BẢNG CHẤM CÔNG T3'!E91</f>
        <v>4.5</v>
      </c>
      <c r="O90" s="127">
        <f>'BẢNG CHẤM CÔNG T3'!F91</f>
        <v>0</v>
      </c>
      <c r="P90" s="127">
        <f>'BẢNG CHẤM CÔNG T3'!G91</f>
        <v>0</v>
      </c>
      <c r="Q90" s="127">
        <f>'BẢNG CHẤM CÔNG T3'!H91</f>
        <v>22</v>
      </c>
      <c r="R90" s="127">
        <f>'BẢNG CHẤM CÔNG T3'!I91</f>
        <v>0</v>
      </c>
      <c r="S90" s="127">
        <f>'BẢNG CHẤM CÔNG T3'!J91</f>
        <v>0</v>
      </c>
      <c r="T90" s="127">
        <f>'BẢNG CHẤM CÔNG T3'!K91</f>
        <v>0</v>
      </c>
      <c r="U90" s="127">
        <f>'BẢNG CHẤM CÔNG T3'!L91</f>
        <v>0</v>
      </c>
      <c r="V90" s="127">
        <f>'BẢNG CHẤM CÔNG T3'!M91</f>
        <v>0</v>
      </c>
      <c r="W90" s="132">
        <f>F90/D90*M90</f>
        <v>4450000</v>
      </c>
      <c r="X90" s="132">
        <f>F90/D90/8*N90*1.5</f>
        <v>144411.05769230769</v>
      </c>
      <c r="Y90" s="132">
        <f t="shared" si="17"/>
        <v>0</v>
      </c>
      <c r="Z90" s="132">
        <f t="shared" si="23"/>
        <v>941346.15384615387</v>
      </c>
      <c r="AA90" s="132">
        <f t="shared" si="26"/>
        <v>500000</v>
      </c>
      <c r="AB90" s="132">
        <f t="shared" si="18"/>
        <v>250000</v>
      </c>
      <c r="AC90" s="132">
        <f t="shared" si="27"/>
        <v>300000</v>
      </c>
      <c r="AD90" s="132">
        <f>J90/D90*M90</f>
        <v>0</v>
      </c>
      <c r="AE90" s="132">
        <f>K90/D90*M90</f>
        <v>500000</v>
      </c>
      <c r="AF90" s="132">
        <f t="shared" si="29"/>
        <v>1000000</v>
      </c>
      <c r="AG90" s="132">
        <f t="shared" si="30"/>
        <v>8085757.211538462</v>
      </c>
      <c r="AH90" s="132"/>
      <c r="AI90" s="132">
        <f>F90/D90/8*P90</f>
        <v>0</v>
      </c>
      <c r="AJ90" s="132"/>
      <c r="AK90" s="132"/>
      <c r="AL90" s="132"/>
      <c r="AM90" s="132">
        <f t="shared" ref="AM90:AM96" si="33">SUM(AI90:AK90)</f>
        <v>0</v>
      </c>
      <c r="AN90" s="180">
        <f t="shared" ref="AN90:AN96" si="34">AG90-AM90</f>
        <v>8085757.211538462</v>
      </c>
      <c r="AO90" s="129">
        <v>3000000</v>
      </c>
    </row>
    <row r="91" spans="1:41" hidden="1" x14ac:dyDescent="0.25">
      <c r="A91" s="59">
        <v>81</v>
      </c>
      <c r="B91" s="72" t="s">
        <v>170</v>
      </c>
      <c r="C91" s="73" t="s">
        <v>171</v>
      </c>
      <c r="D91" s="72">
        <v>26</v>
      </c>
      <c r="E91" s="131">
        <f t="shared" ref="E91:E92" si="35">SUM(F91:L91)</f>
        <v>7000000</v>
      </c>
      <c r="F91" s="126">
        <v>4450000</v>
      </c>
      <c r="G91" s="126">
        <v>500000</v>
      </c>
      <c r="H91" s="126">
        <v>250000</v>
      </c>
      <c r="I91" s="126">
        <v>300000</v>
      </c>
      <c r="J91" s="126"/>
      <c r="K91" s="126">
        <v>500000</v>
      </c>
      <c r="L91" s="126">
        <v>1000000</v>
      </c>
      <c r="M91" s="127">
        <f>'BẢNG CHẤM CÔNG T3'!D92</f>
        <v>26</v>
      </c>
      <c r="N91" s="127">
        <f>'BẢNG CHẤM CÔNG T3'!E92</f>
        <v>18</v>
      </c>
      <c r="O91" s="127">
        <f>'BẢNG CHẤM CÔNG T3'!F92</f>
        <v>0</v>
      </c>
      <c r="P91" s="127">
        <f>'BẢNG CHẤM CÔNG T3'!G92</f>
        <v>0</v>
      </c>
      <c r="Q91" s="127">
        <f>'BẢNG CHẤM CÔNG T3'!H92</f>
        <v>25</v>
      </c>
      <c r="R91" s="127">
        <f>'BẢNG CHẤM CÔNG T3'!I92</f>
        <v>0</v>
      </c>
      <c r="S91" s="127">
        <f>'BẢNG CHẤM CÔNG T3'!J92</f>
        <v>0</v>
      </c>
      <c r="T91" s="127">
        <f>'BẢNG CHẤM CÔNG T3'!K92</f>
        <v>0</v>
      </c>
      <c r="U91" s="127">
        <f>'BẢNG CHẤM CÔNG T3'!L92</f>
        <v>0</v>
      </c>
      <c r="V91" s="127">
        <f>'BẢNG CHẤM CÔNG T3'!M92</f>
        <v>0</v>
      </c>
      <c r="W91" s="132">
        <f t="shared" ref="W91:W92" si="36">F91/D91*M91</f>
        <v>4450000</v>
      </c>
      <c r="X91" s="132">
        <f t="shared" ref="X91:X92" si="37">F91/D91/8*N91*1.5</f>
        <v>577644.23076923075</v>
      </c>
      <c r="Y91" s="132">
        <f t="shared" si="17"/>
        <v>0</v>
      </c>
      <c r="Z91" s="132">
        <f t="shared" si="23"/>
        <v>1069711.5384615385</v>
      </c>
      <c r="AA91" s="132">
        <f t="shared" si="26"/>
        <v>500000</v>
      </c>
      <c r="AB91" s="132">
        <f t="shared" si="18"/>
        <v>250000</v>
      </c>
      <c r="AC91" s="132">
        <f t="shared" si="27"/>
        <v>300000</v>
      </c>
      <c r="AD91" s="132">
        <f t="shared" si="28"/>
        <v>0</v>
      </c>
      <c r="AE91" s="132">
        <f t="shared" ref="AE91:AE92" si="38">K91/D91*M91</f>
        <v>500000</v>
      </c>
      <c r="AF91" s="132">
        <f t="shared" si="29"/>
        <v>1000000</v>
      </c>
      <c r="AG91" s="132">
        <f t="shared" si="30"/>
        <v>8647355.7692307699</v>
      </c>
      <c r="AH91" s="132"/>
      <c r="AI91" s="132">
        <f>F91/D91/8*P91</f>
        <v>0</v>
      </c>
      <c r="AJ91" s="132"/>
      <c r="AK91" s="132"/>
      <c r="AL91" s="132"/>
      <c r="AM91" s="132">
        <f t="shared" si="33"/>
        <v>0</v>
      </c>
      <c r="AN91" s="180">
        <f t="shared" si="34"/>
        <v>8647355.7692307699</v>
      </c>
    </row>
    <row r="92" spans="1:41" hidden="1" x14ac:dyDescent="0.25">
      <c r="A92" s="59">
        <v>82</v>
      </c>
      <c r="B92" s="72" t="s">
        <v>168</v>
      </c>
      <c r="C92" s="73" t="s">
        <v>169</v>
      </c>
      <c r="D92" s="72">
        <v>26</v>
      </c>
      <c r="E92" s="131">
        <f t="shared" si="35"/>
        <v>7000000</v>
      </c>
      <c r="F92" s="126">
        <v>4450000</v>
      </c>
      <c r="G92" s="126">
        <v>500000</v>
      </c>
      <c r="H92" s="126">
        <v>250000</v>
      </c>
      <c r="I92" s="126">
        <v>300000</v>
      </c>
      <c r="J92" s="126"/>
      <c r="K92" s="126">
        <v>500000</v>
      </c>
      <c r="L92" s="126">
        <v>1000000</v>
      </c>
      <c r="M92" s="127">
        <f>'BẢNG CHẤM CÔNG T3'!D93</f>
        <v>26</v>
      </c>
      <c r="N92" s="127">
        <f>'BẢNG CHẤM CÔNG T3'!E93</f>
        <v>15.5</v>
      </c>
      <c r="O92" s="127">
        <f>'BẢNG CHẤM CÔNG T3'!F93</f>
        <v>0</v>
      </c>
      <c r="P92" s="127">
        <f>'BẢNG CHẤM CÔNG T3'!G93</f>
        <v>0</v>
      </c>
      <c r="Q92" s="127">
        <f>'BẢNG CHẤM CÔNG T3'!H93</f>
        <v>8</v>
      </c>
      <c r="R92" s="127">
        <f>'BẢNG CHẤM CÔNG T3'!I93</f>
        <v>0</v>
      </c>
      <c r="S92" s="127">
        <f>'BẢNG CHẤM CÔNG T3'!J93</f>
        <v>0</v>
      </c>
      <c r="T92" s="127">
        <f>'BẢNG CHẤM CÔNG T3'!K93</f>
        <v>0</v>
      </c>
      <c r="U92" s="127">
        <f>'BẢNG CHẤM CÔNG T3'!L93</f>
        <v>0</v>
      </c>
      <c r="V92" s="127">
        <f>'BẢNG CHẤM CÔNG T3'!M93</f>
        <v>0</v>
      </c>
      <c r="W92" s="132">
        <f t="shared" si="36"/>
        <v>4450000</v>
      </c>
      <c r="X92" s="132">
        <f t="shared" si="37"/>
        <v>497415.86538461538</v>
      </c>
      <c r="Y92" s="132">
        <f t="shared" si="17"/>
        <v>0</v>
      </c>
      <c r="Z92" s="132">
        <f t="shared" si="23"/>
        <v>342307.69230769231</v>
      </c>
      <c r="AA92" s="132">
        <f t="shared" si="26"/>
        <v>500000</v>
      </c>
      <c r="AB92" s="132">
        <f t="shared" si="18"/>
        <v>250000</v>
      </c>
      <c r="AC92" s="132">
        <f t="shared" si="27"/>
        <v>300000</v>
      </c>
      <c r="AD92" s="132">
        <f t="shared" si="28"/>
        <v>0</v>
      </c>
      <c r="AE92" s="132">
        <f t="shared" si="38"/>
        <v>500000</v>
      </c>
      <c r="AF92" s="132">
        <f t="shared" si="29"/>
        <v>1000000</v>
      </c>
      <c r="AG92" s="132">
        <f t="shared" si="30"/>
        <v>7839723.557692307</v>
      </c>
      <c r="AH92" s="132"/>
      <c r="AI92" s="132">
        <f>F92/D92/8*P92</f>
        <v>0</v>
      </c>
      <c r="AJ92" s="132"/>
      <c r="AK92" s="132"/>
      <c r="AL92" s="132"/>
      <c r="AM92" s="132">
        <f t="shared" si="33"/>
        <v>0</v>
      </c>
      <c r="AN92" s="180">
        <f t="shared" si="34"/>
        <v>7839723.557692307</v>
      </c>
    </row>
    <row r="93" spans="1:41" ht="15.75" hidden="1" x14ac:dyDescent="0.25">
      <c r="A93" s="397" t="s">
        <v>580</v>
      </c>
      <c r="B93" s="398"/>
      <c r="C93" s="398"/>
      <c r="D93" s="398"/>
      <c r="E93" s="398"/>
      <c r="F93" s="398"/>
      <c r="G93" s="398"/>
      <c r="H93" s="398"/>
      <c r="I93" s="398"/>
      <c r="J93" s="398"/>
      <c r="K93" s="398"/>
      <c r="L93" s="398"/>
      <c r="M93" s="398"/>
      <c r="N93" s="398"/>
      <c r="O93" s="398"/>
      <c r="P93" s="398"/>
      <c r="Q93" s="398"/>
      <c r="R93" s="398"/>
      <c r="S93" s="398"/>
      <c r="T93" s="398"/>
      <c r="U93" s="398"/>
      <c r="V93" s="398"/>
      <c r="W93" s="398"/>
      <c r="X93" s="398"/>
      <c r="Y93" s="398"/>
      <c r="Z93" s="398"/>
      <c r="AA93" s="398"/>
      <c r="AB93" s="398"/>
      <c r="AC93" s="398"/>
      <c r="AD93" s="398"/>
      <c r="AE93" s="398"/>
      <c r="AF93" s="398"/>
      <c r="AG93" s="398"/>
      <c r="AH93" s="398"/>
      <c r="AI93" s="398"/>
      <c r="AJ93" s="398"/>
      <c r="AK93" s="398"/>
      <c r="AL93" s="398"/>
      <c r="AM93" s="398"/>
      <c r="AN93" s="399"/>
    </row>
    <row r="94" spans="1:41" customFormat="1" hidden="1" x14ac:dyDescent="0.25">
      <c r="A94" s="59">
        <v>83</v>
      </c>
      <c r="B94" s="72" t="s">
        <v>30</v>
      </c>
      <c r="C94" s="122" t="s">
        <v>31</v>
      </c>
      <c r="D94" s="72">
        <v>26</v>
      </c>
      <c r="E94" s="131">
        <f t="shared" ref="E94:E96" si="39">SUM(F94:L94)</f>
        <v>6000000</v>
      </c>
      <c r="F94" s="126">
        <v>4150000</v>
      </c>
      <c r="G94" s="126">
        <v>500000</v>
      </c>
      <c r="H94" s="126">
        <v>250000</v>
      </c>
      <c r="I94" s="126"/>
      <c r="J94" s="126"/>
      <c r="K94" s="126">
        <v>300000</v>
      </c>
      <c r="L94" s="126">
        <v>800000</v>
      </c>
      <c r="M94" s="127">
        <f>'BẢNG CHẤM CÔNG T3'!D95</f>
        <v>26</v>
      </c>
      <c r="N94" s="127">
        <f>'BẢNG CHẤM CÔNG T3'!E95</f>
        <v>3</v>
      </c>
      <c r="O94" s="127">
        <f>'BẢNG CHẤM CÔNG T3'!F95</f>
        <v>0</v>
      </c>
      <c r="P94" s="127">
        <f>'BẢNG CHẤM CÔNG T3'!G95</f>
        <v>0</v>
      </c>
      <c r="Q94" s="127">
        <f>'BẢNG CHẤM CÔNG T3'!H95</f>
        <v>25</v>
      </c>
      <c r="R94" s="127">
        <f>'BẢNG CHẤM CÔNG T3'!I95</f>
        <v>0</v>
      </c>
      <c r="S94" s="127">
        <f>'BẢNG CHẤM CÔNG T3'!J95</f>
        <v>0</v>
      </c>
      <c r="T94" s="127">
        <f>'BẢNG CHẤM CÔNG T3'!K95</f>
        <v>0</v>
      </c>
      <c r="U94" s="127">
        <f>'BẢNG CHẤM CÔNG T3'!L95</f>
        <v>0</v>
      </c>
      <c r="V94" s="127">
        <f>'BẢNG CHẤM CÔNG T3'!M95</f>
        <v>0</v>
      </c>
      <c r="W94" s="132">
        <f t="shared" ref="W94:W96" si="40">F94/D94*M94</f>
        <v>4150000</v>
      </c>
      <c r="X94" s="132">
        <f t="shared" ref="X94:X96" si="41">F94/D94/8*N94*1.5</f>
        <v>89783.653846153844</v>
      </c>
      <c r="Y94" s="132">
        <f t="shared" ref="Y94:Y96" si="42">F94/D94/8*O94*1.8</f>
        <v>0</v>
      </c>
      <c r="Z94" s="132">
        <f t="shared" ref="Z94:Z96" si="43">F94/D94/8*Q94*2</f>
        <v>997596.15384615387</v>
      </c>
      <c r="AA94" s="132">
        <f t="shared" ref="AA94:AA96" si="44">G94/D94*M94</f>
        <v>500000</v>
      </c>
      <c r="AB94" s="132">
        <f t="shared" ref="AB94:AB96" si="45">H94/D94*M94</f>
        <v>250000</v>
      </c>
      <c r="AC94" s="132">
        <f t="shared" ref="AC94:AC96" si="46">I94/D94*M94</f>
        <v>0</v>
      </c>
      <c r="AD94" s="132">
        <f t="shared" ref="AD94:AD96" si="47">J94/D94*M94</f>
        <v>0</v>
      </c>
      <c r="AE94" s="132">
        <f t="shared" ref="AE94:AE96" si="48">K94/D94*M94</f>
        <v>300000</v>
      </c>
      <c r="AF94" s="132">
        <f t="shared" ref="AF94:AF96" si="49">L94/D94*M94</f>
        <v>800000</v>
      </c>
      <c r="AG94" s="132">
        <f t="shared" ref="AG94:AG96" si="50">SUM(W94:AF94)</f>
        <v>7087379.807692308</v>
      </c>
      <c r="AH94" s="132"/>
      <c r="AI94" s="132">
        <f t="shared" ref="AI94:AI96" si="51">F94/D94/8*P94</f>
        <v>0</v>
      </c>
      <c r="AJ94" s="132"/>
      <c r="AK94" s="132"/>
      <c r="AL94" s="132"/>
      <c r="AM94" s="132">
        <f t="shared" si="33"/>
        <v>0</v>
      </c>
      <c r="AN94" s="180">
        <f t="shared" si="34"/>
        <v>7087379.807692308</v>
      </c>
    </row>
    <row r="95" spans="1:41" customFormat="1" hidden="1" x14ac:dyDescent="0.25">
      <c r="A95" s="59">
        <v>84</v>
      </c>
      <c r="B95" s="72" t="s">
        <v>32</v>
      </c>
      <c r="C95" s="122" t="s">
        <v>33</v>
      </c>
      <c r="D95" s="72">
        <v>26</v>
      </c>
      <c r="E95" s="131">
        <f t="shared" si="39"/>
        <v>5500000</v>
      </c>
      <c r="F95" s="126">
        <v>4150000</v>
      </c>
      <c r="G95" s="126">
        <v>500000</v>
      </c>
      <c r="H95" s="126">
        <v>250000</v>
      </c>
      <c r="I95" s="126"/>
      <c r="J95" s="126"/>
      <c r="K95" s="126">
        <v>300000</v>
      </c>
      <c r="L95" s="126">
        <v>300000</v>
      </c>
      <c r="M95" s="127">
        <f>'BẢNG CHẤM CÔNG T3'!D96</f>
        <v>25</v>
      </c>
      <c r="N95" s="127">
        <f>'BẢNG CHẤM CÔNG T3'!E96</f>
        <v>0</v>
      </c>
      <c r="O95" s="127">
        <f>'BẢNG CHẤM CÔNG T3'!F96</f>
        <v>0</v>
      </c>
      <c r="P95" s="127">
        <f>'BẢNG CHẤM CÔNG T3'!G96</f>
        <v>0</v>
      </c>
      <c r="Q95" s="127">
        <f>'BẢNG CHẤM CÔNG T3'!H96</f>
        <v>0</v>
      </c>
      <c r="R95" s="127">
        <f>'BẢNG CHẤM CÔNG T3'!I96</f>
        <v>0</v>
      </c>
      <c r="S95" s="127">
        <f>'BẢNG CHẤM CÔNG T3'!J96</f>
        <v>1</v>
      </c>
      <c r="T95" s="127">
        <f>'BẢNG CHẤM CÔNG T3'!K96</f>
        <v>0</v>
      </c>
      <c r="U95" s="127">
        <f>'BẢNG CHẤM CÔNG T3'!L96</f>
        <v>0</v>
      </c>
      <c r="V95" s="127">
        <f>'BẢNG CHẤM CÔNG T3'!M96</f>
        <v>0</v>
      </c>
      <c r="W95" s="132">
        <f t="shared" si="40"/>
        <v>3990384.6153846155</v>
      </c>
      <c r="X95" s="132">
        <f t="shared" si="41"/>
        <v>0</v>
      </c>
      <c r="Y95" s="132">
        <f t="shared" si="42"/>
        <v>0</v>
      </c>
      <c r="Z95" s="132">
        <f t="shared" si="43"/>
        <v>0</v>
      </c>
      <c r="AA95" s="132">
        <f t="shared" si="44"/>
        <v>480769.23076923075</v>
      </c>
      <c r="AB95" s="132">
        <f t="shared" si="45"/>
        <v>240384.61538461538</v>
      </c>
      <c r="AC95" s="132">
        <f t="shared" si="46"/>
        <v>0</v>
      </c>
      <c r="AD95" s="132">
        <f t="shared" si="47"/>
        <v>0</v>
      </c>
      <c r="AE95" s="132">
        <f t="shared" si="48"/>
        <v>288461.5384615385</v>
      </c>
      <c r="AF95" s="132">
        <f t="shared" si="49"/>
        <v>288461.5384615385</v>
      </c>
      <c r="AG95" s="132">
        <f t="shared" si="50"/>
        <v>5288461.538461538</v>
      </c>
      <c r="AH95" s="132"/>
      <c r="AI95" s="132">
        <f t="shared" si="51"/>
        <v>0</v>
      </c>
      <c r="AJ95" s="132"/>
      <c r="AK95" s="132"/>
      <c r="AL95" s="132"/>
      <c r="AM95" s="132">
        <f t="shared" si="33"/>
        <v>0</v>
      </c>
      <c r="AN95" s="183">
        <f t="shared" si="34"/>
        <v>5288461.538461538</v>
      </c>
    </row>
    <row r="96" spans="1:41" customFormat="1" hidden="1" x14ac:dyDescent="0.25">
      <c r="A96" s="59">
        <v>85</v>
      </c>
      <c r="B96" s="72" t="s">
        <v>500</v>
      </c>
      <c r="C96" s="122" t="s">
        <v>501</v>
      </c>
      <c r="D96" s="72">
        <v>26</v>
      </c>
      <c r="E96" s="131">
        <f t="shared" si="39"/>
        <v>5500000</v>
      </c>
      <c r="F96" s="126">
        <v>4150000</v>
      </c>
      <c r="G96" s="126">
        <v>500000</v>
      </c>
      <c r="H96" s="126">
        <v>250000</v>
      </c>
      <c r="I96" s="126"/>
      <c r="J96" s="126"/>
      <c r="K96" s="126">
        <v>300000</v>
      </c>
      <c r="L96" s="126">
        <v>300000</v>
      </c>
      <c r="M96" s="127">
        <f>'BẢNG CHẤM CÔNG T3'!D97</f>
        <v>16.5</v>
      </c>
      <c r="N96" s="127">
        <f>'BẢNG CHẤM CÔNG T3'!E97</f>
        <v>15</v>
      </c>
      <c r="O96" s="127">
        <f>'BẢNG CHẤM CÔNG T3'!F97</f>
        <v>0</v>
      </c>
      <c r="P96" s="127">
        <f>'BẢNG CHẤM CÔNG T3'!G97</f>
        <v>0</v>
      </c>
      <c r="Q96" s="127">
        <f>'BẢNG CHẤM CÔNG T3'!H97</f>
        <v>8</v>
      </c>
      <c r="R96" s="127">
        <f>'BẢNG CHẤM CÔNG T3'!I97</f>
        <v>0</v>
      </c>
      <c r="S96" s="127">
        <f>'BẢNG CHẤM CÔNG T3'!J97</f>
        <v>0</v>
      </c>
      <c r="T96" s="127">
        <f>'BẢNG CHẤM CÔNG T3'!K97</f>
        <v>0</v>
      </c>
      <c r="U96" s="127">
        <f>'BẢNG CHẤM CÔNG T3'!L97</f>
        <v>0</v>
      </c>
      <c r="V96" s="127">
        <f>'BẢNG CHẤM CÔNG T3'!M97</f>
        <v>0</v>
      </c>
      <c r="W96" s="132">
        <f t="shared" si="40"/>
        <v>2633653.8461538465</v>
      </c>
      <c r="X96" s="132">
        <f t="shared" si="41"/>
        <v>448918.26923076925</v>
      </c>
      <c r="Y96" s="132">
        <f t="shared" si="42"/>
        <v>0</v>
      </c>
      <c r="Z96" s="132">
        <f t="shared" si="43"/>
        <v>319230.76923076925</v>
      </c>
      <c r="AA96" s="132">
        <f t="shared" si="44"/>
        <v>317307.69230769231</v>
      </c>
      <c r="AB96" s="132">
        <f t="shared" si="45"/>
        <v>158653.84615384616</v>
      </c>
      <c r="AC96" s="132">
        <f t="shared" si="46"/>
        <v>0</v>
      </c>
      <c r="AD96" s="132">
        <f t="shared" si="47"/>
        <v>0</v>
      </c>
      <c r="AE96" s="132">
        <f t="shared" si="48"/>
        <v>190384.6153846154</v>
      </c>
      <c r="AF96" s="132">
        <f t="shared" si="49"/>
        <v>190384.6153846154</v>
      </c>
      <c r="AG96" s="132">
        <f t="shared" si="50"/>
        <v>4258533.653846154</v>
      </c>
      <c r="AH96" s="132"/>
      <c r="AI96" s="132">
        <f t="shared" si="51"/>
        <v>0</v>
      </c>
      <c r="AJ96" s="132"/>
      <c r="AK96" s="132"/>
      <c r="AL96" s="132"/>
      <c r="AM96" s="132">
        <f t="shared" si="33"/>
        <v>0</v>
      </c>
      <c r="AN96" s="183">
        <f t="shared" si="34"/>
        <v>4258533.653846154</v>
      </c>
    </row>
  </sheetData>
  <autoFilter ref="A6:AN96" xr:uid="{00000000-0009-0000-0000-000002000000}">
    <filterColumn colId="39">
      <filters>
        <filter val="11.330.264"/>
        <filter val="11.679.099"/>
        <filter val="11.824.315"/>
        <filter val="12.024.666"/>
        <filter val="12.137.897"/>
        <filter val="12.197.656"/>
        <filter val="12.741.587"/>
        <filter val="12.927.572"/>
        <filter val="13.425.433"/>
        <filter val="14.012.224"/>
      </filters>
    </filterColumn>
  </autoFilter>
  <mergeCells count="43">
    <mergeCell ref="A93:AN93"/>
    <mergeCell ref="AH4:AH6"/>
    <mergeCell ref="AK5:AK6"/>
    <mergeCell ref="E4:E6"/>
    <mergeCell ref="AA5:AA6"/>
    <mergeCell ref="AB5:AB6"/>
    <mergeCell ref="AE5:AE6"/>
    <mergeCell ref="AF5:AF6"/>
    <mergeCell ref="AI5:AI6"/>
    <mergeCell ref="AC5:AC6"/>
    <mergeCell ref="AD5:AD6"/>
    <mergeCell ref="AI4:AL4"/>
    <mergeCell ref="AL5:AL6"/>
    <mergeCell ref="L5:L6"/>
    <mergeCell ref="G4:L4"/>
    <mergeCell ref="A89:AN89"/>
    <mergeCell ref="A45:AN45"/>
    <mergeCell ref="A39:AN39"/>
    <mergeCell ref="A8:AN8"/>
    <mergeCell ref="AG4:AG6"/>
    <mergeCell ref="AM4:AM6"/>
    <mergeCell ref="AN4:AN6"/>
    <mergeCell ref="AA4:AF4"/>
    <mergeCell ref="W5:W6"/>
    <mergeCell ref="X5:X6"/>
    <mergeCell ref="Y5:Y6"/>
    <mergeCell ref="Z5:Z6"/>
    <mergeCell ref="AJ5:AJ6"/>
    <mergeCell ref="W4:Z4"/>
    <mergeCell ref="A2:S2"/>
    <mergeCell ref="A4:A6"/>
    <mergeCell ref="B4:B6"/>
    <mergeCell ref="C4:C6"/>
    <mergeCell ref="D4:D6"/>
    <mergeCell ref="G5:G6"/>
    <mergeCell ref="F4:F6"/>
    <mergeCell ref="H5:H6"/>
    <mergeCell ref="I5:I6"/>
    <mergeCell ref="M5:P5"/>
    <mergeCell ref="R5:V5"/>
    <mergeCell ref="M4:V4"/>
    <mergeCell ref="J5:J6"/>
    <mergeCell ref="K5:K6"/>
  </mergeCells>
  <conditionalFormatting sqref="B94:C96">
    <cfRule type="expression" dxfId="22" priority="5">
      <formula>$V94&lt;&gt;""</formula>
    </cfRule>
  </conditionalFormatting>
  <conditionalFormatting sqref="B9:L9 B10:C36 I24:L36 D24:H38 B38:C38 I38:L38 B40:L44 B46:L46 B47:D50 E47:L88 B51:C57 D51:D88 B59:C78 C84:C85 C90:L90 B91:L92 D94:L96">
    <cfRule type="expression" dxfId="19" priority="9">
      <formula>$AE9&lt;&gt;""</formula>
    </cfRule>
  </conditionalFormatting>
  <conditionalFormatting sqref="D10:L23">
    <cfRule type="expression" dxfId="18" priority="7">
      <formula>$AE10&lt;&gt;""</formula>
    </cfRule>
  </conditionalFormatting>
  <pageMargins left="0.7" right="0.7" top="0.75" bottom="0.75" header="0.3" footer="0.3"/>
  <pageSetup orientation="portrait" horizontalDpi="300" verticalDpi="3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C92E033A-F875-4CF8-9AD6-8D8FA95D1917}">
            <xm:f>AND(TODAY()-$R94&gt;=90,$U94='\PHỤNG\CHẤM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B94:C96</xm:sqref>
        </x14:conditionalFormatting>
        <x14:conditionalFormatting xmlns:xm="http://schemas.microsoft.com/office/excel/2006/main">
          <x14:cfRule type="expression" priority="10" id="{3FFC35F9-7DE0-4D19-B210-2FBCD3EAFA88}">
            <xm:f>AND(TODAY()-$AA9&gt;=90,$AD9='\PHỤNG\CHẤM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B9:L9 B10:C36 I24:L36 D24:H38 B38:C38 I38:L38 B40:L44 B46:L46 B47:D50 E47:L88 B51:C57 D51:D88 B59:C78 C84:C85 C90:L90 B91:L92 D94:L96 D10:L22 D23:E23</xm:sqref>
        </x14:conditionalFormatting>
        <x14:conditionalFormatting xmlns:xm="http://schemas.microsoft.com/office/excel/2006/main">
          <x14:cfRule type="expression" priority="8" id="{E1533812-F9E7-4460-B21A-2704AFEA35D9}">
            <xm:f>AND(TODAY()-$AA23&gt;=90,$AD23='\PHỤNG\CHẤM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F23:L23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28"/>
  <sheetViews>
    <sheetView zoomScale="80" zoomScaleNormal="80" workbookViewId="0">
      <selection activeCell="H23" sqref="H23"/>
    </sheetView>
  </sheetViews>
  <sheetFormatPr defaultRowHeight="15" x14ac:dyDescent="0.25"/>
  <cols>
    <col min="1" max="1" width="5.140625" customWidth="1"/>
    <col min="2" max="2" width="6.140625" customWidth="1"/>
    <col min="3" max="3" width="25.28515625" customWidth="1"/>
    <col min="4" max="4" width="15.28515625" customWidth="1"/>
    <col min="5" max="5" width="18.5703125" customWidth="1"/>
    <col min="6" max="6" width="7.42578125" customWidth="1"/>
    <col min="7" max="7" width="15.28515625" customWidth="1"/>
    <col min="8" max="8" width="10.85546875" customWidth="1"/>
    <col min="9" max="9" width="19.85546875" customWidth="1"/>
    <col min="10" max="11" width="14.140625" customWidth="1"/>
    <col min="12" max="12" width="11" customWidth="1"/>
    <col min="13" max="15" width="18.5703125" customWidth="1"/>
    <col min="16" max="16" width="14.5703125" customWidth="1"/>
    <col min="17" max="17" width="15" customWidth="1"/>
  </cols>
  <sheetData>
    <row r="1" spans="2:17" ht="15.75" x14ac:dyDescent="0.25">
      <c r="C1" s="156" t="s">
        <v>545</v>
      </c>
      <c r="D1" s="155"/>
      <c r="E1" s="155"/>
      <c r="F1" s="155"/>
      <c r="G1" s="155"/>
      <c r="H1" s="155"/>
      <c r="I1" s="157"/>
      <c r="J1" s="157"/>
      <c r="K1" s="157"/>
      <c r="L1" s="157"/>
      <c r="M1" s="155"/>
      <c r="N1" s="157"/>
      <c r="O1" s="155"/>
      <c r="P1" s="155"/>
    </row>
    <row r="2" spans="2:17" ht="15.75" x14ac:dyDescent="0.25">
      <c r="B2" s="155"/>
      <c r="C2" s="158" t="s">
        <v>546</v>
      </c>
      <c r="D2" s="155"/>
      <c r="E2" s="155"/>
      <c r="F2" s="155"/>
      <c r="G2" s="155"/>
      <c r="H2" s="155"/>
      <c r="I2" s="157"/>
      <c r="J2" s="157"/>
      <c r="K2" s="157"/>
      <c r="L2" s="157"/>
      <c r="M2" s="155"/>
      <c r="N2" s="157"/>
      <c r="O2" s="155"/>
      <c r="P2" s="155"/>
    </row>
    <row r="3" spans="2:17" ht="15.75" x14ac:dyDescent="0.25">
      <c r="B3" s="155"/>
      <c r="C3" s="159"/>
      <c r="D3" s="155"/>
      <c r="E3" s="155"/>
      <c r="F3" s="155"/>
      <c r="G3" s="155"/>
      <c r="H3" s="155"/>
      <c r="I3" s="157"/>
      <c r="J3" s="157"/>
      <c r="K3" s="157"/>
      <c r="L3" s="157"/>
      <c r="M3" s="155"/>
      <c r="N3" s="157"/>
      <c r="O3" s="155"/>
      <c r="P3" s="155"/>
    </row>
    <row r="4" spans="2:17" ht="15.75" x14ac:dyDescent="0.25">
      <c r="B4" s="426" t="s">
        <v>590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</row>
    <row r="5" spans="2:17" ht="15.75" x14ac:dyDescent="0.25">
      <c r="B5" s="427" t="s">
        <v>589</v>
      </c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</row>
    <row r="6" spans="2:17" ht="36" customHeight="1" x14ac:dyDescent="0.25">
      <c r="B6" s="428" t="s">
        <v>15</v>
      </c>
      <c r="C6" s="424" t="s">
        <v>547</v>
      </c>
      <c r="D6" s="424" t="s">
        <v>548</v>
      </c>
      <c r="E6" s="430" t="s">
        <v>549</v>
      </c>
      <c r="F6" s="424" t="s">
        <v>559</v>
      </c>
      <c r="G6" s="430" t="s">
        <v>550</v>
      </c>
      <c r="H6" s="424" t="s">
        <v>551</v>
      </c>
      <c r="I6" s="424" t="s">
        <v>550</v>
      </c>
      <c r="J6" s="424" t="s">
        <v>552</v>
      </c>
      <c r="K6" s="432" t="s">
        <v>553</v>
      </c>
      <c r="L6" s="432"/>
      <c r="M6" s="424" t="s">
        <v>554</v>
      </c>
      <c r="N6" s="430" t="s">
        <v>555</v>
      </c>
      <c r="O6" s="424" t="s">
        <v>512</v>
      </c>
      <c r="P6" s="424" t="s">
        <v>556</v>
      </c>
    </row>
    <row r="7" spans="2:17" ht="15.75" x14ac:dyDescent="0.25">
      <c r="B7" s="429"/>
      <c r="C7" s="425"/>
      <c r="D7" s="425"/>
      <c r="E7" s="431"/>
      <c r="F7" s="425"/>
      <c r="G7" s="431"/>
      <c r="H7" s="425"/>
      <c r="I7" s="425"/>
      <c r="J7" s="425"/>
      <c r="K7" s="160" t="s">
        <v>557</v>
      </c>
      <c r="L7" s="160" t="s">
        <v>558</v>
      </c>
      <c r="M7" s="425"/>
      <c r="N7" s="431"/>
      <c r="O7" s="425"/>
      <c r="P7" s="425"/>
    </row>
    <row r="8" spans="2:17" ht="15.75" x14ac:dyDescent="0.25">
      <c r="B8" s="161">
        <v>1</v>
      </c>
      <c r="C8" s="162" t="s">
        <v>535</v>
      </c>
      <c r="D8" s="162" t="s">
        <v>536</v>
      </c>
      <c r="E8" s="163">
        <v>5000000</v>
      </c>
      <c r="F8" s="163">
        <v>26</v>
      </c>
      <c r="G8" s="163">
        <f>+E8/26</f>
        <v>192307.69230769231</v>
      </c>
      <c r="H8" s="176">
        <v>26</v>
      </c>
      <c r="I8" s="163">
        <f>+E8/F8*H8</f>
        <v>5000000</v>
      </c>
      <c r="J8" s="163">
        <v>0</v>
      </c>
      <c r="K8" s="163">
        <v>0</v>
      </c>
      <c r="L8" s="163">
        <v>0</v>
      </c>
      <c r="M8" s="165">
        <f>I8+J8-L8-K8</f>
        <v>5000000</v>
      </c>
      <c r="N8" s="166">
        <v>0</v>
      </c>
      <c r="O8" s="167">
        <f>M8-N8</f>
        <v>5000000</v>
      </c>
      <c r="P8" s="168"/>
    </row>
    <row r="9" spans="2:17" ht="15.75" x14ac:dyDescent="0.25">
      <c r="B9" s="161">
        <v>2</v>
      </c>
      <c r="C9" s="162" t="s">
        <v>537</v>
      </c>
      <c r="D9" s="162" t="s">
        <v>538</v>
      </c>
      <c r="E9" s="163">
        <v>20000000</v>
      </c>
      <c r="F9" s="163">
        <v>26</v>
      </c>
      <c r="G9" s="163">
        <f t="shared" ref="G9:G12" si="0">+E9/26</f>
        <v>769230.76923076925</v>
      </c>
      <c r="H9" s="176">
        <v>26</v>
      </c>
      <c r="I9" s="163">
        <f t="shared" ref="I9:I12" si="1">+E9/F9*H9</f>
        <v>20000000</v>
      </c>
      <c r="J9" s="163">
        <v>0</v>
      </c>
      <c r="K9" s="163">
        <v>0</v>
      </c>
      <c r="L9" s="163">
        <v>0</v>
      </c>
      <c r="M9" s="165">
        <f>I9+J9-L9-K9</f>
        <v>20000000</v>
      </c>
      <c r="N9" s="166">
        <v>0</v>
      </c>
      <c r="O9" s="182">
        <f t="shared" ref="O9:O12" si="2">M9-N9</f>
        <v>20000000</v>
      </c>
      <c r="P9" s="168"/>
    </row>
    <row r="10" spans="2:17" ht="15.75" x14ac:dyDescent="0.25">
      <c r="B10" s="161">
        <v>3</v>
      </c>
      <c r="C10" s="162" t="s">
        <v>539</v>
      </c>
      <c r="D10" s="162" t="s">
        <v>540</v>
      </c>
      <c r="E10" s="163">
        <v>20000000</v>
      </c>
      <c r="F10" s="163">
        <v>26</v>
      </c>
      <c r="G10" s="163">
        <f t="shared" si="0"/>
        <v>769230.76923076925</v>
      </c>
      <c r="H10" s="176">
        <v>26</v>
      </c>
      <c r="I10" s="163">
        <f t="shared" si="1"/>
        <v>20000000</v>
      </c>
      <c r="J10" s="163">
        <v>0</v>
      </c>
      <c r="K10" s="163">
        <v>0</v>
      </c>
      <c r="L10" s="163">
        <v>0</v>
      </c>
      <c r="M10" s="165">
        <f>I10+J10-L10-K10</f>
        <v>20000000</v>
      </c>
      <c r="N10" s="166">
        <v>0</v>
      </c>
      <c r="O10" s="182">
        <f t="shared" si="2"/>
        <v>20000000</v>
      </c>
      <c r="P10" s="168"/>
    </row>
    <row r="11" spans="2:17" ht="15.75" x14ac:dyDescent="0.25">
      <c r="B11" s="161">
        <v>4</v>
      </c>
      <c r="C11" s="162" t="s">
        <v>541</v>
      </c>
      <c r="D11" s="162" t="s">
        <v>542</v>
      </c>
      <c r="E11" s="163">
        <v>15000000</v>
      </c>
      <c r="F11" s="163">
        <v>26</v>
      </c>
      <c r="G11" s="163">
        <f t="shared" si="0"/>
        <v>576923.07692307688</v>
      </c>
      <c r="H11" s="176">
        <v>26</v>
      </c>
      <c r="I11" s="163">
        <f t="shared" si="1"/>
        <v>14999999.999999998</v>
      </c>
      <c r="J11" s="163">
        <v>0</v>
      </c>
      <c r="K11" s="163">
        <v>0</v>
      </c>
      <c r="L11" s="163">
        <v>0</v>
      </c>
      <c r="M11" s="165">
        <f>I11+J11-L11-K11</f>
        <v>14999999.999999998</v>
      </c>
      <c r="N11" s="166">
        <v>5000000</v>
      </c>
      <c r="O11" s="182">
        <f t="shared" si="2"/>
        <v>9999999.9999999981</v>
      </c>
      <c r="P11" s="168"/>
    </row>
    <row r="12" spans="2:17" ht="15.75" x14ac:dyDescent="0.25">
      <c r="B12" s="161">
        <v>5</v>
      </c>
      <c r="C12" s="162" t="s">
        <v>543</v>
      </c>
      <c r="D12" s="162" t="s">
        <v>591</v>
      </c>
      <c r="E12" s="163">
        <v>15000000</v>
      </c>
      <c r="F12" s="163">
        <v>26</v>
      </c>
      <c r="G12" s="163">
        <f t="shared" si="0"/>
        <v>576923.07692307688</v>
      </c>
      <c r="H12" s="164">
        <v>26</v>
      </c>
      <c r="I12" s="163">
        <f t="shared" si="1"/>
        <v>14999999.999999998</v>
      </c>
      <c r="J12" s="163">
        <v>0</v>
      </c>
      <c r="K12" s="163">
        <v>0</v>
      </c>
      <c r="L12" s="163">
        <v>0</v>
      </c>
      <c r="M12" s="165">
        <f>I12+J12-L12-K12</f>
        <v>14999999.999999998</v>
      </c>
      <c r="N12" s="166">
        <v>0</v>
      </c>
      <c r="O12" s="182">
        <f t="shared" si="2"/>
        <v>14999999.999999998</v>
      </c>
      <c r="P12" s="168" t="s">
        <v>560</v>
      </c>
      <c r="Q12" s="151">
        <v>3000000</v>
      </c>
    </row>
    <row r="13" spans="2:17" ht="15.75" x14ac:dyDescent="0.25">
      <c r="B13" s="169"/>
      <c r="C13" s="170" t="s">
        <v>588</v>
      </c>
      <c r="D13" s="170"/>
      <c r="E13" s="171">
        <f>SUM(E8:E12)</f>
        <v>75000000</v>
      </c>
      <c r="F13" s="171"/>
      <c r="G13" s="171"/>
      <c r="H13" s="169"/>
      <c r="I13" s="171">
        <f>SUM(I8:I12)</f>
        <v>75000000</v>
      </c>
      <c r="J13" s="172">
        <v>0</v>
      </c>
      <c r="K13" s="172">
        <v>0</v>
      </c>
      <c r="L13" s="172">
        <v>0</v>
      </c>
      <c r="M13" s="173">
        <f t="shared" ref="M13" si="3">I13+J13-L13-K13</f>
        <v>75000000</v>
      </c>
      <c r="N13" s="174">
        <v>0</v>
      </c>
      <c r="O13" s="171">
        <f>SUM(O8:O12)</f>
        <v>70000000</v>
      </c>
      <c r="P13" s="175"/>
    </row>
    <row r="14" spans="2:17" ht="15.75" x14ac:dyDescent="0.25">
      <c r="B14" s="178"/>
      <c r="C14" s="162" t="s">
        <v>585</v>
      </c>
      <c r="D14" s="178"/>
      <c r="E14" s="178"/>
      <c r="F14" s="178"/>
      <c r="G14" s="178"/>
      <c r="H14" s="178"/>
      <c r="I14" s="171"/>
      <c r="J14" s="178"/>
      <c r="K14" s="178"/>
      <c r="L14" s="178"/>
      <c r="M14" s="178"/>
      <c r="N14" s="178"/>
      <c r="O14" s="171">
        <f>+'SẢN XUẤT cũ'!AN3</f>
        <v>554116575.32051277</v>
      </c>
      <c r="P14" s="178"/>
    </row>
    <row r="15" spans="2:17" ht="15.75" x14ac:dyDescent="0.25">
      <c r="B15" s="178"/>
      <c r="C15" s="162" t="s">
        <v>586</v>
      </c>
      <c r="D15" s="178"/>
      <c r="E15" s="178"/>
      <c r="F15" s="178"/>
      <c r="G15" s="178"/>
      <c r="H15" s="178"/>
      <c r="I15" s="171"/>
      <c r="J15" s="178"/>
      <c r="K15" s="178"/>
      <c r="L15" s="178"/>
      <c r="M15" s="178"/>
      <c r="N15" s="178"/>
      <c r="O15" s="171" t="e">
        <f>+'VĂN PHÒNG'!#REF!</f>
        <v>#REF!</v>
      </c>
      <c r="P15" s="178"/>
    </row>
    <row r="16" spans="2:17" ht="15.75" x14ac:dyDescent="0.25">
      <c r="B16" s="178"/>
      <c r="C16" s="162" t="s">
        <v>587</v>
      </c>
      <c r="D16" s="178"/>
      <c r="E16" s="178"/>
      <c r="F16" s="178"/>
      <c r="G16" s="178"/>
      <c r="H16" s="178"/>
      <c r="I16" s="179"/>
      <c r="J16" s="178"/>
      <c r="K16" s="178"/>
      <c r="L16" s="178"/>
      <c r="M16" s="178"/>
      <c r="N16" s="178"/>
      <c r="O16" s="179" t="e">
        <f>+SUM(O13:O15)</f>
        <v>#REF!</v>
      </c>
      <c r="P16" s="178"/>
    </row>
    <row r="20" spans="11:14" x14ac:dyDescent="0.25">
      <c r="N20" s="186"/>
    </row>
    <row r="25" spans="11:14" x14ac:dyDescent="0.25">
      <c r="K25" s="151"/>
    </row>
    <row r="26" spans="11:14" x14ac:dyDescent="0.25">
      <c r="K26" s="151"/>
    </row>
    <row r="27" spans="11:14" x14ac:dyDescent="0.25">
      <c r="K27" s="151"/>
    </row>
    <row r="28" spans="11:14" x14ac:dyDescent="0.25">
      <c r="K28" s="185"/>
      <c r="M28" s="187"/>
    </row>
  </sheetData>
  <mergeCells count="16">
    <mergeCell ref="F6:F7"/>
    <mergeCell ref="B4:P4"/>
    <mergeCell ref="B5:P5"/>
    <mergeCell ref="B6:B7"/>
    <mergeCell ref="C6:C7"/>
    <mergeCell ref="D6:D7"/>
    <mergeCell ref="E6:E7"/>
    <mergeCell ref="G6:G7"/>
    <mergeCell ref="H6:H7"/>
    <mergeCell ref="I6:I7"/>
    <mergeCell ref="J6:J7"/>
    <mergeCell ref="K6:L6"/>
    <mergeCell ref="M6:M7"/>
    <mergeCell ref="N6:N7"/>
    <mergeCell ref="O6:O7"/>
    <mergeCell ref="P6:P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39FCA-0ADD-4572-A138-2BCA605AFEAD}">
  <sheetPr>
    <tabColor theme="5" tint="0.79998168889431442"/>
  </sheetPr>
  <dimension ref="A1:BH50"/>
  <sheetViews>
    <sheetView workbookViewId="0">
      <pane xSplit="3" ySplit="5" topLeftCell="I36" activePane="bottomRight" state="frozen"/>
      <selection pane="topRight" activeCell="D1" sqref="D1"/>
      <selection pane="bottomLeft" activeCell="A6" sqref="A6"/>
      <selection pane="bottomRight" activeCell="AU58" sqref="AU58"/>
    </sheetView>
  </sheetViews>
  <sheetFormatPr defaultRowHeight="15" x14ac:dyDescent="0.25"/>
  <cols>
    <col min="2" max="2" width="13.85546875" hidden="1" customWidth="1"/>
    <col min="3" max="3" width="20.28515625" style="333" bestFit="1" customWidth="1"/>
    <col min="4" max="4" width="8.7109375" bestFit="1" customWidth="1"/>
    <col min="5" max="5" width="8" bestFit="1" customWidth="1"/>
    <col min="6" max="6" width="18.5703125" customWidth="1"/>
    <col min="7" max="7" width="16.42578125" customWidth="1"/>
    <col min="8" max="11" width="5.5703125" customWidth="1"/>
    <col min="12" max="35" width="5.140625" customWidth="1"/>
    <col min="36" max="46" width="5.140625" hidden="1" customWidth="1"/>
    <col min="47" max="47" width="8.7109375" customWidth="1"/>
    <col min="48" max="48" width="8.85546875" hidden="1" customWidth="1"/>
    <col min="49" max="49" width="15.140625" style="151" customWidth="1"/>
    <col min="50" max="50" width="8.85546875" style="151" hidden="1" customWidth="1"/>
    <col min="51" max="51" width="8.7109375" style="151" customWidth="1"/>
    <col min="52" max="52" width="8.7109375" style="151" hidden="1" customWidth="1"/>
    <col min="53" max="53" width="15.85546875" style="334" bestFit="1" customWidth="1"/>
    <col min="54" max="54" width="13" style="151" customWidth="1"/>
    <col min="55" max="56" width="13" style="151" hidden="1" customWidth="1"/>
    <col min="57" max="57" width="13" style="151" customWidth="1"/>
    <col min="58" max="59" width="13" style="151" hidden="1" customWidth="1"/>
    <col min="60" max="60" width="15.7109375" style="151" customWidth="1"/>
  </cols>
  <sheetData>
    <row r="1" spans="1:60" ht="18.600000000000001" customHeight="1" x14ac:dyDescent="0.25">
      <c r="A1" s="477" t="s">
        <v>633</v>
      </c>
      <c r="B1" s="477"/>
      <c r="C1" s="477"/>
      <c r="D1" s="477"/>
      <c r="E1" s="477"/>
      <c r="F1" s="477"/>
      <c r="G1" s="477"/>
      <c r="N1" s="298" t="s">
        <v>634</v>
      </c>
      <c r="O1" s="298">
        <v>3</v>
      </c>
      <c r="P1" s="298" t="s">
        <v>635</v>
      </c>
      <c r="Q1" s="298">
        <v>2024</v>
      </c>
      <c r="R1" s="298"/>
      <c r="S1" s="298"/>
      <c r="T1" s="298" t="s">
        <v>636</v>
      </c>
    </row>
    <row r="2" spans="1:60" ht="18.75" x14ac:dyDescent="0.3">
      <c r="A2" s="478" t="s">
        <v>637</v>
      </c>
      <c r="B2" s="478"/>
      <c r="C2" s="478"/>
      <c r="D2" s="478"/>
      <c r="E2" s="478"/>
      <c r="F2" s="478"/>
      <c r="G2" s="478"/>
      <c r="H2" s="479" t="s">
        <v>638</v>
      </c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335"/>
      <c r="AX2" s="335"/>
      <c r="AY2" s="335"/>
      <c r="AZ2" s="335"/>
      <c r="BA2" s="335"/>
      <c r="BB2" s="335"/>
      <c r="BC2" s="335"/>
      <c r="BD2" s="335"/>
      <c r="BE2" s="335"/>
      <c r="BF2" s="335"/>
      <c r="BG2" s="335"/>
      <c r="BH2" s="335"/>
    </row>
    <row r="3" spans="1:60" ht="16.5" thickBot="1" x14ac:dyDescent="0.3">
      <c r="A3" s="480" t="s">
        <v>639</v>
      </c>
      <c r="B3" s="480"/>
      <c r="C3" s="480"/>
      <c r="D3" s="480"/>
      <c r="E3" s="480"/>
      <c r="F3" s="480"/>
      <c r="G3" s="480"/>
      <c r="H3" s="481" t="s">
        <v>640</v>
      </c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1"/>
      <c r="AV3" s="301"/>
      <c r="AW3" s="336"/>
      <c r="AX3" s="336"/>
      <c r="AY3" s="336"/>
      <c r="AZ3" s="336"/>
      <c r="BA3" s="337"/>
      <c r="BB3" s="337"/>
      <c r="BC3" s="337"/>
      <c r="BD3" s="337"/>
      <c r="BE3" s="337"/>
      <c r="BF3" s="337"/>
      <c r="BG3" s="337"/>
      <c r="BH3" s="337"/>
    </row>
    <row r="4" spans="1:60" ht="15.75" thickBot="1" x14ac:dyDescent="0.3">
      <c r="A4" s="471" t="s">
        <v>15</v>
      </c>
      <c r="B4" s="471" t="s">
        <v>641</v>
      </c>
      <c r="C4" s="471" t="s">
        <v>642</v>
      </c>
      <c r="D4" s="471" t="s">
        <v>643</v>
      </c>
      <c r="E4" s="471" t="s">
        <v>644</v>
      </c>
      <c r="F4" s="471" t="s">
        <v>645</v>
      </c>
      <c r="G4" s="471" t="s">
        <v>646</v>
      </c>
      <c r="H4" s="302">
        <f t="shared" ref="H4:M4" si="0">I4-1</f>
        <v>45346</v>
      </c>
      <c r="I4" s="302">
        <f t="shared" si="0"/>
        <v>45347</v>
      </c>
      <c r="J4" s="302">
        <f t="shared" si="0"/>
        <v>45348</v>
      </c>
      <c r="K4" s="302">
        <f t="shared" si="0"/>
        <v>45349</v>
      </c>
      <c r="L4" s="302">
        <f t="shared" si="0"/>
        <v>45350</v>
      </c>
      <c r="M4" s="302">
        <f t="shared" si="0"/>
        <v>45351</v>
      </c>
      <c r="N4" s="302">
        <f>DATE(Q1,O1,1)</f>
        <v>45352</v>
      </c>
      <c r="O4" s="302">
        <f>N4+1</f>
        <v>45353</v>
      </c>
      <c r="P4" s="302">
        <f t="shared" ref="P4:AT4" si="1">O4+1</f>
        <v>45354</v>
      </c>
      <c r="Q4" s="302">
        <f t="shared" si="1"/>
        <v>45355</v>
      </c>
      <c r="R4" s="302">
        <f t="shared" si="1"/>
        <v>45356</v>
      </c>
      <c r="S4" s="302">
        <f t="shared" si="1"/>
        <v>45357</v>
      </c>
      <c r="T4" s="302">
        <f t="shared" si="1"/>
        <v>45358</v>
      </c>
      <c r="U4" s="302">
        <f t="shared" si="1"/>
        <v>45359</v>
      </c>
      <c r="V4" s="302">
        <f t="shared" si="1"/>
        <v>45360</v>
      </c>
      <c r="W4" s="302">
        <f t="shared" si="1"/>
        <v>45361</v>
      </c>
      <c r="X4" s="302">
        <f t="shared" si="1"/>
        <v>45362</v>
      </c>
      <c r="Y4" s="302">
        <f t="shared" si="1"/>
        <v>45363</v>
      </c>
      <c r="Z4" s="302">
        <f t="shared" si="1"/>
        <v>45364</v>
      </c>
      <c r="AA4" s="302">
        <f t="shared" si="1"/>
        <v>45365</v>
      </c>
      <c r="AB4" s="302">
        <f t="shared" si="1"/>
        <v>45366</v>
      </c>
      <c r="AC4" s="302">
        <f t="shared" si="1"/>
        <v>45367</v>
      </c>
      <c r="AD4" s="302">
        <f t="shared" si="1"/>
        <v>45368</v>
      </c>
      <c r="AE4" s="302">
        <f t="shared" si="1"/>
        <v>45369</v>
      </c>
      <c r="AF4" s="302">
        <f t="shared" si="1"/>
        <v>45370</v>
      </c>
      <c r="AG4" s="302">
        <f t="shared" si="1"/>
        <v>45371</v>
      </c>
      <c r="AH4" s="302">
        <f t="shared" si="1"/>
        <v>45372</v>
      </c>
      <c r="AI4" s="302">
        <f t="shared" si="1"/>
        <v>45373</v>
      </c>
      <c r="AJ4" s="302">
        <f t="shared" si="1"/>
        <v>45374</v>
      </c>
      <c r="AK4" s="302">
        <f t="shared" si="1"/>
        <v>45375</v>
      </c>
      <c r="AL4" s="302">
        <f t="shared" si="1"/>
        <v>45376</v>
      </c>
      <c r="AM4" s="302">
        <f t="shared" si="1"/>
        <v>45377</v>
      </c>
      <c r="AN4" s="302">
        <f t="shared" si="1"/>
        <v>45378</v>
      </c>
      <c r="AO4" s="302">
        <f t="shared" si="1"/>
        <v>45379</v>
      </c>
      <c r="AP4" s="302">
        <f t="shared" si="1"/>
        <v>45380</v>
      </c>
      <c r="AQ4" s="302">
        <f t="shared" si="1"/>
        <v>45381</v>
      </c>
      <c r="AR4" s="302">
        <f t="shared" si="1"/>
        <v>45382</v>
      </c>
      <c r="AS4" s="302">
        <f t="shared" si="1"/>
        <v>45383</v>
      </c>
      <c r="AT4" s="302">
        <f t="shared" si="1"/>
        <v>45384</v>
      </c>
      <c r="AU4" s="473" t="s">
        <v>647</v>
      </c>
      <c r="AV4" s="473"/>
      <c r="AW4" s="473"/>
      <c r="AX4" s="474"/>
      <c r="AY4" s="474"/>
      <c r="AZ4" s="474"/>
      <c r="BA4" s="475" t="s">
        <v>648</v>
      </c>
      <c r="BB4" s="475"/>
      <c r="BC4" s="475"/>
      <c r="BD4" s="475"/>
      <c r="BE4" s="475"/>
      <c r="BF4" s="475"/>
      <c r="BG4" s="475"/>
      <c r="BH4" s="476"/>
    </row>
    <row r="5" spans="1:60" ht="30.75" thickBot="1" x14ac:dyDescent="0.3">
      <c r="A5" s="472"/>
      <c r="B5" s="472"/>
      <c r="C5" s="472"/>
      <c r="D5" s="472"/>
      <c r="E5" s="472"/>
      <c r="F5" s="472"/>
      <c r="G5" s="472"/>
      <c r="H5" s="303" t="str">
        <f>IF(WEEKDAY(H4)=1,"CN","T"&amp;WEEKDAY(H4))</f>
        <v>T7</v>
      </c>
      <c r="I5" s="304" t="str">
        <f t="shared" ref="I5:J5" si="2">IF(WEEKDAY(I4)=1,"CN","T"&amp;WEEKDAY(I4))</f>
        <v>CN</v>
      </c>
      <c r="J5" s="304" t="str">
        <f t="shared" si="2"/>
        <v>T2</v>
      </c>
      <c r="K5" s="303" t="str">
        <f>IF(WEEKDAY(K4)=1,"CN","T"&amp;WEEKDAY(K4))</f>
        <v>T3</v>
      </c>
      <c r="L5" s="304" t="str">
        <f t="shared" ref="L5:AS5" si="3">IF(WEEKDAY(L4)=1,"CN","T"&amp;WEEKDAY(L4))</f>
        <v>T4</v>
      </c>
      <c r="M5" s="304" t="str">
        <f t="shared" si="3"/>
        <v>T5</v>
      </c>
      <c r="N5" s="304" t="str">
        <f t="shared" si="3"/>
        <v>T6</v>
      </c>
      <c r="O5" s="304" t="str">
        <f t="shared" si="3"/>
        <v>T7</v>
      </c>
      <c r="P5" s="304" t="str">
        <f t="shared" si="3"/>
        <v>CN</v>
      </c>
      <c r="Q5" s="304" t="str">
        <f t="shared" si="3"/>
        <v>T2</v>
      </c>
      <c r="R5" s="304" t="str">
        <f t="shared" si="3"/>
        <v>T3</v>
      </c>
      <c r="S5" s="304" t="str">
        <f t="shared" si="3"/>
        <v>T4</v>
      </c>
      <c r="T5" s="304" t="str">
        <f t="shared" si="3"/>
        <v>T5</v>
      </c>
      <c r="U5" s="304" t="str">
        <f t="shared" si="3"/>
        <v>T6</v>
      </c>
      <c r="V5" s="304" t="str">
        <f t="shared" si="3"/>
        <v>T7</v>
      </c>
      <c r="W5" s="304" t="str">
        <f t="shared" si="3"/>
        <v>CN</v>
      </c>
      <c r="X5" s="304" t="str">
        <f t="shared" si="3"/>
        <v>T2</v>
      </c>
      <c r="Y5" s="304" t="str">
        <f t="shared" si="3"/>
        <v>T3</v>
      </c>
      <c r="Z5" s="304" t="str">
        <f t="shared" si="3"/>
        <v>T4</v>
      </c>
      <c r="AA5" s="304" t="str">
        <f t="shared" si="3"/>
        <v>T5</v>
      </c>
      <c r="AB5" s="304" t="str">
        <f t="shared" si="3"/>
        <v>T6</v>
      </c>
      <c r="AC5" s="304" t="str">
        <f t="shared" si="3"/>
        <v>T7</v>
      </c>
      <c r="AD5" s="304" t="str">
        <f t="shared" si="3"/>
        <v>CN</v>
      </c>
      <c r="AE5" s="304" t="str">
        <f t="shared" si="3"/>
        <v>T2</v>
      </c>
      <c r="AF5" s="304" t="str">
        <f t="shared" si="3"/>
        <v>T3</v>
      </c>
      <c r="AG5" s="304" t="str">
        <f t="shared" si="3"/>
        <v>T4</v>
      </c>
      <c r="AH5" s="304" t="str">
        <f t="shared" si="3"/>
        <v>T5</v>
      </c>
      <c r="AI5" s="304" t="str">
        <f t="shared" si="3"/>
        <v>T6</v>
      </c>
      <c r="AJ5" s="304" t="str">
        <f t="shared" si="3"/>
        <v>T7</v>
      </c>
      <c r="AK5" s="304" t="str">
        <f t="shared" si="3"/>
        <v>CN</v>
      </c>
      <c r="AL5" s="304" t="str">
        <f t="shared" si="3"/>
        <v>T2</v>
      </c>
      <c r="AM5" s="304" t="str">
        <f t="shared" si="3"/>
        <v>T3</v>
      </c>
      <c r="AN5" s="304" t="str">
        <f t="shared" si="3"/>
        <v>T4</v>
      </c>
      <c r="AO5" s="304" t="str">
        <f t="shared" si="3"/>
        <v>T5</v>
      </c>
      <c r="AP5" s="304" t="str">
        <f t="shared" si="3"/>
        <v>T6</v>
      </c>
      <c r="AQ5" s="304" t="str">
        <f t="shared" si="3"/>
        <v>T7</v>
      </c>
      <c r="AR5" s="304" t="str">
        <f t="shared" si="3"/>
        <v>CN</v>
      </c>
      <c r="AS5" s="304" t="str">
        <f t="shared" si="3"/>
        <v>T2</v>
      </c>
      <c r="AT5" s="304"/>
      <c r="AU5" s="305" t="s">
        <v>649</v>
      </c>
      <c r="AV5" s="306"/>
      <c r="AW5" s="338" t="s">
        <v>650</v>
      </c>
      <c r="AX5" s="339" t="s">
        <v>651</v>
      </c>
      <c r="AY5" s="340" t="s">
        <v>652</v>
      </c>
      <c r="AZ5" s="340" t="s">
        <v>653</v>
      </c>
      <c r="BA5" s="341" t="s">
        <v>654</v>
      </c>
      <c r="BB5" s="342" t="s">
        <v>655</v>
      </c>
      <c r="BC5" s="342" t="s">
        <v>656</v>
      </c>
      <c r="BD5" s="342" t="s">
        <v>651</v>
      </c>
      <c r="BE5" s="342" t="s">
        <v>657</v>
      </c>
      <c r="BF5" s="342" t="s">
        <v>653</v>
      </c>
      <c r="BG5" s="342" t="s">
        <v>658</v>
      </c>
      <c r="BH5" s="343" t="s">
        <v>659</v>
      </c>
    </row>
    <row r="6" spans="1:60" x14ac:dyDescent="0.25">
      <c r="A6" s="446">
        <v>1</v>
      </c>
      <c r="B6" s="446"/>
      <c r="C6" s="448" t="s">
        <v>660</v>
      </c>
      <c r="D6" s="446"/>
      <c r="E6" s="446"/>
      <c r="F6" s="446"/>
      <c r="G6" s="307" t="s">
        <v>661</v>
      </c>
      <c r="X6" s="308">
        <v>8</v>
      </c>
      <c r="Y6" s="308">
        <v>8</v>
      </c>
      <c r="Z6" s="308">
        <v>8</v>
      </c>
      <c r="AA6" s="308">
        <v>8</v>
      </c>
      <c r="AB6" s="308">
        <v>8</v>
      </c>
      <c r="AC6" s="308">
        <v>8</v>
      </c>
      <c r="AE6" s="308">
        <v>8</v>
      </c>
      <c r="AF6" s="309">
        <v>8</v>
      </c>
      <c r="AG6" s="308">
        <v>8</v>
      </c>
      <c r="AH6" s="308">
        <v>8</v>
      </c>
      <c r="AI6" s="308">
        <v>8</v>
      </c>
      <c r="AU6" s="450">
        <f>SUM(H6:AT6)/8</f>
        <v>11</v>
      </c>
      <c r="AV6" s="452">
        <f>(SUMIFS(K6:AT6,$K$5:$AT$5,"&lt;&gt;"&amp;"CN",K6:AT6,"&gt;"&amp;9))-((COUNTIFS($K$5:$AT$5,"&lt;&gt;"&amp;"CN",K6:AT6,"&gt;"&amp;9))*9.5)</f>
        <v>0</v>
      </c>
      <c r="AW6" s="438">
        <f>SUM(H7:AT7)</f>
        <v>0</v>
      </c>
      <c r="AX6" s="438">
        <f>(SUMIFS(K7:AT7,$K$5:$AT$5,"&lt;&gt;"&amp;"CN",K7:AT7,"&gt;"&amp;9))-((COUNTIFS($K$5:$AT$5,"&lt;&gt;"&amp;"CN",K7:AT7,"&gt;"&amp;9))*9.5)</f>
        <v>0</v>
      </c>
      <c r="AY6" s="437">
        <f>(COUNTIFS($K$5:$AT$5,"CN",K6:AT6,"&gt;="&amp;9))+(SUMIFS(K6:AT6,$K$5:$AT$5,"CN",K6:AT6,"&lt;="&amp;8)/8)</f>
        <v>0</v>
      </c>
      <c r="AZ6" s="442">
        <f>(COUNTIFS($K$5:$AT$5,"CN",K7:AT7,"&gt;="&amp;9))+(SUMIFS(K7:AT7,$K$5:$AT$5,"CN",K7:AT7,"&lt;="&amp;8)/8)</f>
        <v>0</v>
      </c>
      <c r="BA6" s="444">
        <f>AU6*230000</f>
        <v>2530000</v>
      </c>
      <c r="BB6" s="437">
        <f>AW6*32000</f>
        <v>0</v>
      </c>
      <c r="BC6" s="437"/>
      <c r="BD6" s="437"/>
      <c r="BE6" s="437">
        <f>AY6*450000</f>
        <v>0</v>
      </c>
      <c r="BF6" s="437"/>
      <c r="BG6" s="437"/>
      <c r="BH6" s="439">
        <f>BA6+BB6+BE6</f>
        <v>2530000</v>
      </c>
    </row>
    <row r="7" spans="1:60" s="311" customFormat="1" x14ac:dyDescent="0.25">
      <c r="A7" s="447"/>
      <c r="B7" s="447"/>
      <c r="C7" s="449"/>
      <c r="D7" s="447"/>
      <c r="E7" s="447"/>
      <c r="F7" s="447"/>
      <c r="G7" s="310" t="s">
        <v>662</v>
      </c>
      <c r="Y7" s="312"/>
      <c r="Z7" s="312"/>
      <c r="AA7" s="312"/>
      <c r="AB7" s="312"/>
      <c r="AC7" s="312"/>
      <c r="AE7" s="312"/>
      <c r="AG7" s="312"/>
      <c r="AH7" s="312"/>
      <c r="AI7" s="312"/>
      <c r="AU7" s="451"/>
      <c r="AV7" s="453"/>
      <c r="AW7" s="441"/>
      <c r="AX7" s="441"/>
      <c r="AY7" s="438"/>
      <c r="AZ7" s="443"/>
      <c r="BA7" s="445"/>
      <c r="BB7" s="438"/>
      <c r="BC7" s="438"/>
      <c r="BD7" s="438"/>
      <c r="BE7" s="438"/>
      <c r="BF7" s="438"/>
      <c r="BG7" s="438"/>
      <c r="BH7" s="440"/>
    </row>
    <row r="8" spans="1:60" x14ac:dyDescent="0.25">
      <c r="A8" s="446">
        <v>2</v>
      </c>
      <c r="B8" s="446"/>
      <c r="C8" s="448" t="s">
        <v>663</v>
      </c>
      <c r="D8" s="446"/>
      <c r="E8" s="446"/>
      <c r="F8" s="446"/>
      <c r="G8" s="307" t="s">
        <v>661</v>
      </c>
      <c r="X8" s="308">
        <v>8</v>
      </c>
      <c r="Y8" s="308">
        <v>8</v>
      </c>
      <c r="Z8" s="308">
        <v>4</v>
      </c>
      <c r="AA8" s="308">
        <v>8</v>
      </c>
      <c r="AB8" s="308">
        <v>8</v>
      </c>
      <c r="AC8" s="308">
        <v>8</v>
      </c>
      <c r="AE8" s="308">
        <v>8</v>
      </c>
      <c r="AF8" t="s">
        <v>664</v>
      </c>
      <c r="AG8" s="308" t="s">
        <v>664</v>
      </c>
      <c r="AH8" s="308">
        <v>8</v>
      </c>
      <c r="AI8" s="308">
        <v>8</v>
      </c>
      <c r="AU8" s="450">
        <f t="shared" ref="AU8" si="4">SUM(H8:AT8)/8</f>
        <v>8.5</v>
      </c>
      <c r="AV8" s="452">
        <f t="shared" ref="AV8" si="5">(SUMIFS(K8:AT8,$K$5:$AT$5,"&lt;&gt;"&amp;"CN",K8:AT8,"&gt;"&amp;9))-((COUNTIFS($K$5:$AT$5,"&lt;&gt;"&amp;"CN",K8:AT8,"&gt;"&amp;9))*9.5)</f>
        <v>0</v>
      </c>
      <c r="AW8" s="438">
        <f t="shared" ref="AW8" si="6">SUM(H9:AT9)</f>
        <v>0</v>
      </c>
      <c r="AX8" s="438">
        <f>(SUMIFS(K9:AT9,$K$5:$AT$5,"&lt;&gt;"&amp;"CN",K9:AT9,"&gt;"&amp;9))-((COUNTIFS($K$5:$AT$5,"&lt;&gt;"&amp;"CN",K9:AT9,"&gt;"&amp;9))*9.5)</f>
        <v>0</v>
      </c>
      <c r="AY8" s="437">
        <f>(COUNTIFS($K$5:$AT$5,"CN",K8:AT8,"&gt;="&amp;9))+(SUMIFS(K8:AT8,$K$5:$AT$5,"CN",K8:AT8,"&lt;="&amp;8)/8)</f>
        <v>0</v>
      </c>
      <c r="AZ8" s="442">
        <f>(COUNTIFS($K$5:$AT$5,"CN",K9:AT9,"&gt;="&amp;9))+(SUMIFS(K9:AT9,$K$5:$AT$5,"CN",K9:AT9,"&lt;="&amp;8)/8)</f>
        <v>0</v>
      </c>
      <c r="BA8" s="444">
        <f t="shared" ref="BA8" si="7">AU8*230000</f>
        <v>1955000</v>
      </c>
      <c r="BB8" s="437">
        <f t="shared" ref="BB8" si="8">AW8*32000</f>
        <v>0</v>
      </c>
      <c r="BC8" s="437"/>
      <c r="BD8" s="437"/>
      <c r="BE8" s="437">
        <f t="shared" ref="BE8" si="9">AY8*450000</f>
        <v>0</v>
      </c>
      <c r="BF8" s="437"/>
      <c r="BG8" s="437"/>
      <c r="BH8" s="439">
        <f t="shared" ref="BH8" si="10">BA8+BB8+BE8</f>
        <v>1955000</v>
      </c>
    </row>
    <row r="9" spans="1:60" s="311" customFormat="1" x14ac:dyDescent="0.25">
      <c r="A9" s="447"/>
      <c r="B9" s="447"/>
      <c r="C9" s="449"/>
      <c r="D9" s="447"/>
      <c r="E9" s="447"/>
      <c r="F9" s="447"/>
      <c r="G9" s="310" t="s">
        <v>665</v>
      </c>
      <c r="Z9" s="312"/>
      <c r="AA9" s="312"/>
      <c r="AB9" s="312"/>
      <c r="AC9" s="312"/>
      <c r="AE9" s="312"/>
      <c r="AG9" s="312"/>
      <c r="AH9" s="312"/>
      <c r="AU9" s="451"/>
      <c r="AV9" s="453"/>
      <c r="AW9" s="441"/>
      <c r="AX9" s="441"/>
      <c r="AY9" s="438"/>
      <c r="AZ9" s="443"/>
      <c r="BA9" s="445"/>
      <c r="BB9" s="438"/>
      <c r="BC9" s="438"/>
      <c r="BD9" s="438"/>
      <c r="BE9" s="438"/>
      <c r="BF9" s="438"/>
      <c r="BG9" s="438"/>
      <c r="BH9" s="440"/>
    </row>
    <row r="10" spans="1:60" x14ac:dyDescent="0.25">
      <c r="A10" s="446">
        <v>3</v>
      </c>
      <c r="B10" s="446"/>
      <c r="C10" s="448" t="s">
        <v>666</v>
      </c>
      <c r="D10" s="446"/>
      <c r="E10" s="446"/>
      <c r="F10" s="446"/>
      <c r="G10" s="307" t="s">
        <v>661</v>
      </c>
      <c r="Z10" s="308">
        <v>8</v>
      </c>
      <c r="AA10" s="308">
        <v>8</v>
      </c>
      <c r="AB10" s="308">
        <v>8</v>
      </c>
      <c r="AC10" s="308">
        <v>8</v>
      </c>
      <c r="AE10" s="308">
        <v>8</v>
      </c>
      <c r="AF10" t="s">
        <v>664</v>
      </c>
      <c r="AG10" s="308">
        <v>8</v>
      </c>
      <c r="AH10" s="308">
        <v>8</v>
      </c>
      <c r="AU10" s="450">
        <f t="shared" ref="AU10" si="11">SUM(H10:AT10)/8</f>
        <v>7</v>
      </c>
      <c r="AV10" s="452">
        <f t="shared" ref="AV10" si="12">(SUMIFS(K10:AT10,$K$5:$AT$5,"&lt;&gt;"&amp;"CN",K10:AT10,"&gt;"&amp;9))-((COUNTIFS($K$5:$AT$5,"&lt;&gt;"&amp;"CN",K10:AT10,"&gt;"&amp;9))*9.5)</f>
        <v>0</v>
      </c>
      <c r="AW10" s="438">
        <f t="shared" ref="AW10" si="13">SUM(H11:AT11)</f>
        <v>0</v>
      </c>
      <c r="AX10" s="438">
        <f>(SUMIFS(K11:AT11,$K$5:$AT$5,"&lt;&gt;"&amp;"CN",K11:AT11,"&gt;"&amp;9))-((COUNTIFS($K$5:$AT$5,"&lt;&gt;"&amp;"CN",K11:AT11,"&gt;"&amp;9))*9.5)</f>
        <v>0</v>
      </c>
      <c r="AY10" s="437">
        <f>(COUNTIFS($K$5:$AT$5,"CN",K10:AT10,"&gt;="&amp;9))+(SUMIFS(K10:AT10,$K$5:$AT$5,"CN",K10:AT10,"&lt;="&amp;8)/8)</f>
        <v>0</v>
      </c>
      <c r="AZ10" s="442">
        <f>(COUNTIFS($K$5:$AT$5,"CN",K11:AT11,"&gt;="&amp;9))+(SUMIFS(K11:AT11,$K$5:$AT$5,"CN",K11:AT11,"&lt;="&amp;8)/8)</f>
        <v>0</v>
      </c>
      <c r="BA10" s="444">
        <f t="shared" ref="BA10" si="14">AU10*230000</f>
        <v>1610000</v>
      </c>
      <c r="BB10" s="437">
        <f t="shared" ref="BB10" si="15">AW10*32000</f>
        <v>0</v>
      </c>
      <c r="BC10" s="437"/>
      <c r="BD10" s="437"/>
      <c r="BE10" s="437">
        <f t="shared" ref="BE10" si="16">AY10*450000</f>
        <v>0</v>
      </c>
      <c r="BF10" s="437"/>
      <c r="BG10" s="437"/>
      <c r="BH10" s="439">
        <f t="shared" ref="BH10" si="17">BA10+BB10+BE10</f>
        <v>1610000</v>
      </c>
    </row>
    <row r="11" spans="1:60" s="311" customFormat="1" x14ac:dyDescent="0.25">
      <c r="A11" s="447"/>
      <c r="B11" s="447"/>
      <c r="C11" s="449"/>
      <c r="D11" s="447"/>
      <c r="E11" s="447"/>
      <c r="F11" s="447"/>
      <c r="G11" s="310" t="s">
        <v>665</v>
      </c>
      <c r="Z11" s="312"/>
      <c r="AA11" s="312"/>
      <c r="AB11" s="312"/>
      <c r="AC11" s="312"/>
      <c r="AE11" s="312"/>
      <c r="AG11" s="312"/>
      <c r="AH11" s="312"/>
      <c r="AU11" s="451"/>
      <c r="AV11" s="453"/>
      <c r="AW11" s="441"/>
      <c r="AX11" s="441"/>
      <c r="AY11" s="438"/>
      <c r="AZ11" s="443"/>
      <c r="BA11" s="445"/>
      <c r="BB11" s="438"/>
      <c r="BC11" s="438"/>
      <c r="BD11" s="438"/>
      <c r="BE11" s="438"/>
      <c r="BF11" s="438"/>
      <c r="BG11" s="438"/>
      <c r="BH11" s="440"/>
    </row>
    <row r="12" spans="1:60" x14ac:dyDescent="0.25">
      <c r="A12" s="446">
        <v>4</v>
      </c>
      <c r="B12" s="446"/>
      <c r="C12" s="448" t="s">
        <v>667</v>
      </c>
      <c r="D12" s="446"/>
      <c r="E12" s="446"/>
      <c r="F12" s="446"/>
      <c r="G12" s="307" t="s">
        <v>661</v>
      </c>
      <c r="Z12" s="308">
        <v>8</v>
      </c>
      <c r="AA12" s="308">
        <v>8</v>
      </c>
      <c r="AB12" s="308">
        <v>8</v>
      </c>
      <c r="AC12" s="308">
        <v>8</v>
      </c>
      <c r="AE12" s="308">
        <v>8</v>
      </c>
      <c r="AF12" t="s">
        <v>664</v>
      </c>
      <c r="AG12" s="308">
        <v>8</v>
      </c>
      <c r="AH12" s="308">
        <v>8</v>
      </c>
      <c r="AU12" s="450">
        <f t="shared" ref="AU12" si="18">SUM(H12:AT12)/8</f>
        <v>7</v>
      </c>
      <c r="AV12" s="452">
        <f t="shared" ref="AV12" si="19">(SUMIFS(K12:AT12,$K$5:$AT$5,"&lt;&gt;"&amp;"CN",K12:AT12,"&gt;"&amp;9))-((COUNTIFS($K$5:$AT$5,"&lt;&gt;"&amp;"CN",K12:AT12,"&gt;"&amp;9))*9.5)</f>
        <v>0</v>
      </c>
      <c r="AW12" s="438">
        <f t="shared" ref="AW12" si="20">SUM(H13:AT13)</f>
        <v>0</v>
      </c>
      <c r="AX12" s="438">
        <f>(SUMIFS(K13:AT13,$K$5:$AT$5,"&lt;&gt;"&amp;"CN",K13:AT13,"&gt;"&amp;9))-((COUNTIFS($K$5:$AT$5,"&lt;&gt;"&amp;"CN",K13:AT13,"&gt;"&amp;9))*9.5)</f>
        <v>0</v>
      </c>
      <c r="AY12" s="437">
        <f>(COUNTIFS($K$5:$AT$5,"CN",K12:AT12,"&gt;="&amp;9))+(SUMIFS(K12:AT12,$K$5:$AT$5,"CN",K12:AT12,"&lt;="&amp;8)/8)</f>
        <v>0</v>
      </c>
      <c r="AZ12" s="442">
        <f>(COUNTIFS($K$5:$AT$5,"CN",K13:AT13,"&gt;="&amp;9))+(SUMIFS(K13:AT13,$K$5:$AT$5,"CN",K13:AT13,"&lt;="&amp;8)/8)</f>
        <v>0</v>
      </c>
      <c r="BA12" s="444">
        <f t="shared" ref="BA12" si="21">AU12*230000</f>
        <v>1610000</v>
      </c>
      <c r="BB12" s="437">
        <f t="shared" ref="BB12" si="22">AW12*32000</f>
        <v>0</v>
      </c>
      <c r="BC12" s="437"/>
      <c r="BD12" s="437"/>
      <c r="BE12" s="437">
        <f t="shared" ref="BE12" si="23">AY12*450000</f>
        <v>0</v>
      </c>
      <c r="BF12" s="437"/>
      <c r="BG12" s="437"/>
      <c r="BH12" s="439">
        <f t="shared" ref="BH12" si="24">BA12+BB12+BE12</f>
        <v>1610000</v>
      </c>
    </row>
    <row r="13" spans="1:60" s="311" customFormat="1" x14ac:dyDescent="0.25">
      <c r="A13" s="447"/>
      <c r="B13" s="447"/>
      <c r="C13" s="449"/>
      <c r="D13" s="447"/>
      <c r="E13" s="447"/>
      <c r="F13" s="447"/>
      <c r="G13" s="310" t="s">
        <v>665</v>
      </c>
      <c r="AG13" s="312"/>
      <c r="AU13" s="451"/>
      <c r="AV13" s="453"/>
      <c r="AW13" s="441"/>
      <c r="AX13" s="441"/>
      <c r="AY13" s="438"/>
      <c r="AZ13" s="443"/>
      <c r="BA13" s="445"/>
      <c r="BB13" s="438"/>
      <c r="BC13" s="438"/>
      <c r="BD13" s="438"/>
      <c r="BE13" s="438"/>
      <c r="BF13" s="438"/>
      <c r="BG13" s="438"/>
      <c r="BH13" s="440"/>
    </row>
    <row r="14" spans="1:60" s="314" customFormat="1" x14ac:dyDescent="0.25">
      <c r="A14" s="463">
        <v>5</v>
      </c>
      <c r="B14" s="463"/>
      <c r="C14" s="465" t="s">
        <v>668</v>
      </c>
      <c r="D14" s="463"/>
      <c r="E14" s="463"/>
      <c r="F14" s="463"/>
      <c r="G14" s="313" t="s">
        <v>661</v>
      </c>
      <c r="J14" s="315">
        <v>8</v>
      </c>
      <c r="K14" s="315">
        <v>8</v>
      </c>
      <c r="L14" s="315">
        <v>8</v>
      </c>
      <c r="M14" s="315">
        <v>8</v>
      </c>
      <c r="N14" s="316">
        <v>8</v>
      </c>
      <c r="O14" s="316">
        <v>4</v>
      </c>
      <c r="AU14" s="467">
        <f t="shared" ref="AU14" si="25">SUM(H14:AT14)/8</f>
        <v>5.5</v>
      </c>
      <c r="AV14" s="469">
        <f t="shared" ref="AV14" si="26">(SUMIFS(K14:AT14,$K$5:$AT$5,"&lt;&gt;"&amp;"CN",K14:AT14,"&gt;"&amp;9))-((COUNTIFS($K$5:$AT$5,"&lt;&gt;"&amp;"CN",K14:AT14,"&gt;"&amp;9))*9.5)</f>
        <v>0</v>
      </c>
      <c r="AW14" s="455">
        <f t="shared" ref="AW14" si="27">SUM(H15:AT15)</f>
        <v>4.5</v>
      </c>
      <c r="AX14" s="455">
        <f>(SUMIFS(K15:AT15,$K$5:$AT$5,"&lt;&gt;"&amp;"CN",K15:AT15,"&gt;"&amp;9))-((COUNTIFS($K$5:$AT$5,"&lt;&gt;"&amp;"CN",K15:AT15,"&gt;"&amp;9))*9.5)</f>
        <v>0</v>
      </c>
      <c r="AY14" s="454">
        <f>(COUNTIFS($K$5:$AT$5,"CN",K14:AT14,"&gt;="&amp;9))+(SUMIFS(K14:AT14,$K$5:$AT$5,"CN",K14:AT14,"&lt;="&amp;8)/8)</f>
        <v>0</v>
      </c>
      <c r="AZ14" s="459">
        <f>(COUNTIFS($K$5:$AT$5,"CN",K15:AT15,"&gt;="&amp;9))+(SUMIFS(K15:AT15,$K$5:$AT$5,"CN",K15:AT15,"&lt;="&amp;8)/8)</f>
        <v>0</v>
      </c>
      <c r="BA14" s="461">
        <f>AU14*230000</f>
        <v>1265000</v>
      </c>
      <c r="BB14" s="454">
        <f>AW14*32000</f>
        <v>144000</v>
      </c>
      <c r="BC14" s="454"/>
      <c r="BD14" s="454"/>
      <c r="BE14" s="454">
        <f t="shared" ref="BE14" si="28">AY14*450000</f>
        <v>0</v>
      </c>
      <c r="BF14" s="454"/>
      <c r="BG14" s="454"/>
      <c r="BH14" s="456">
        <f t="shared" ref="BH14" si="29">BA14+BB14+BE14</f>
        <v>1409000</v>
      </c>
    </row>
    <row r="15" spans="1:60" s="318" customFormat="1" x14ac:dyDescent="0.25">
      <c r="A15" s="464"/>
      <c r="B15" s="464"/>
      <c r="C15" s="466"/>
      <c r="D15" s="464"/>
      <c r="E15" s="464"/>
      <c r="F15" s="464"/>
      <c r="G15" s="317" t="s">
        <v>665</v>
      </c>
      <c r="J15" s="319">
        <v>4.5</v>
      </c>
      <c r="K15" s="319"/>
      <c r="L15" s="319"/>
      <c r="M15" s="319"/>
      <c r="AU15" s="468"/>
      <c r="AV15" s="470"/>
      <c r="AW15" s="458"/>
      <c r="AX15" s="458"/>
      <c r="AY15" s="455"/>
      <c r="AZ15" s="460"/>
      <c r="BA15" s="462"/>
      <c r="BB15" s="455"/>
      <c r="BC15" s="455"/>
      <c r="BD15" s="455"/>
      <c r="BE15" s="455"/>
      <c r="BF15" s="455"/>
      <c r="BG15" s="455"/>
      <c r="BH15" s="457"/>
    </row>
    <row r="16" spans="1:60" x14ac:dyDescent="0.25">
      <c r="A16" s="446">
        <v>6</v>
      </c>
      <c r="B16" s="446"/>
      <c r="C16" s="448" t="s">
        <v>669</v>
      </c>
      <c r="D16" s="446"/>
      <c r="E16" s="446"/>
      <c r="F16" s="446"/>
      <c r="G16" s="307" t="s">
        <v>661</v>
      </c>
      <c r="J16">
        <v>8</v>
      </c>
      <c r="K16">
        <v>8</v>
      </c>
      <c r="L16">
        <v>8</v>
      </c>
      <c r="M16">
        <v>8</v>
      </c>
      <c r="N16" s="308">
        <v>8</v>
      </c>
      <c r="O16" s="308">
        <v>8</v>
      </c>
      <c r="AU16" s="450">
        <f t="shared" ref="AU16" si="30">SUM(H16:AT16)/8</f>
        <v>6</v>
      </c>
      <c r="AV16" s="452">
        <f t="shared" ref="AV16" si="31">(SUMIFS(K16:AT16,$K$5:$AT$5,"&lt;&gt;"&amp;"CN",K16:AT16,"&gt;"&amp;9))-((COUNTIFS($K$5:$AT$5,"&lt;&gt;"&amp;"CN",K16:AT16,"&gt;"&amp;9))*9.5)</f>
        <v>0</v>
      </c>
      <c r="AW16" s="438">
        <f t="shared" ref="AW16" si="32">SUM(H17:AT17)</f>
        <v>0</v>
      </c>
      <c r="AX16" s="438">
        <f>(SUMIFS(K17:AT17,$K$5:$AT$5,"&lt;&gt;"&amp;"CN",K17:AT17,"&gt;"&amp;9))-((COUNTIFS($K$5:$AT$5,"&lt;&gt;"&amp;"CN",K17:AT17,"&gt;"&amp;9))*9.5)</f>
        <v>0</v>
      </c>
      <c r="AY16" s="437">
        <f>(COUNTIFS($K$5:$AT$5,"CN",K16:AT16,"&gt;="&amp;9))+(SUMIFS(K16:AT16,$K$5:$AT$5,"CN",K16:AT16,"&lt;="&amp;8)/8)</f>
        <v>0</v>
      </c>
      <c r="AZ16" s="442">
        <f>(COUNTIFS($K$5:$AT$5,"CN",K17:AT17,"&gt;="&amp;9))+(SUMIFS(K17:AT17,$K$5:$AT$5,"CN",K17:AT17,"&lt;="&amp;8)/8)</f>
        <v>0</v>
      </c>
      <c r="BA16" s="444">
        <f t="shared" ref="BA16" si="33">AU16*230000</f>
        <v>1380000</v>
      </c>
      <c r="BB16" s="437">
        <f t="shared" ref="BB16" si="34">AW16*32000</f>
        <v>0</v>
      </c>
      <c r="BC16" s="437"/>
      <c r="BD16" s="437"/>
      <c r="BE16" s="437">
        <f t="shared" ref="BE16" si="35">AY16*450000</f>
        <v>0</v>
      </c>
      <c r="BF16" s="437"/>
      <c r="BG16" s="437"/>
      <c r="BH16" s="439">
        <f t="shared" ref="BH16" si="36">BA16+BB16+BE16</f>
        <v>1380000</v>
      </c>
    </row>
    <row r="17" spans="1:60" s="311" customFormat="1" x14ac:dyDescent="0.25">
      <c r="A17" s="447"/>
      <c r="B17" s="447"/>
      <c r="C17" s="449"/>
      <c r="D17" s="447"/>
      <c r="E17" s="447"/>
      <c r="F17" s="447"/>
      <c r="G17" s="310" t="s">
        <v>665</v>
      </c>
      <c r="AU17" s="451"/>
      <c r="AV17" s="453"/>
      <c r="AW17" s="441"/>
      <c r="AX17" s="441"/>
      <c r="AY17" s="438"/>
      <c r="AZ17" s="443"/>
      <c r="BA17" s="445"/>
      <c r="BB17" s="438"/>
      <c r="BC17" s="438"/>
      <c r="BD17" s="438"/>
      <c r="BE17" s="438"/>
      <c r="BF17" s="438"/>
      <c r="BG17" s="438"/>
      <c r="BH17" s="440"/>
    </row>
    <row r="18" spans="1:60" x14ac:dyDescent="0.25">
      <c r="A18" s="446">
        <v>7</v>
      </c>
      <c r="B18" s="446"/>
      <c r="C18" s="448" t="s">
        <v>670</v>
      </c>
      <c r="D18" s="446"/>
      <c r="E18" s="446"/>
      <c r="F18" s="446"/>
      <c r="G18" s="307" t="s">
        <v>661</v>
      </c>
      <c r="N18" s="308">
        <v>8</v>
      </c>
      <c r="O18" s="308">
        <v>8</v>
      </c>
      <c r="Q18" s="308">
        <v>8</v>
      </c>
      <c r="AU18" s="450">
        <f t="shared" ref="AU18" si="37">SUM(H18:AT18)/8</f>
        <v>3</v>
      </c>
      <c r="AV18" s="452">
        <f t="shared" ref="AV18" si="38">(SUMIFS(K18:AT18,$K$5:$AT$5,"&lt;&gt;"&amp;"CN",K18:AT18,"&gt;"&amp;9))-((COUNTIFS($K$5:$AT$5,"&lt;&gt;"&amp;"CN",K18:AT18,"&gt;"&amp;9))*9.5)</f>
        <v>0</v>
      </c>
      <c r="AW18" s="438">
        <f t="shared" ref="AW18" si="39">SUM(H19:AT19)</f>
        <v>0</v>
      </c>
      <c r="AX18" s="438">
        <f>(SUMIFS(K19:AT19,$K$5:$AT$5,"&lt;&gt;"&amp;"CN",K19:AT19,"&gt;"&amp;9))-((COUNTIFS($K$5:$AT$5,"&lt;&gt;"&amp;"CN",K19:AT19,"&gt;"&amp;9))*9.5)</f>
        <v>0</v>
      </c>
      <c r="AY18" s="437">
        <f>(COUNTIFS($K$5:$AT$5,"CN",K18:AT18,"&gt;="&amp;9))+(SUMIFS(K18:AT18,$K$5:$AT$5,"CN",K18:AT18,"&lt;="&amp;8)/8)</f>
        <v>0</v>
      </c>
      <c r="AZ18" s="442">
        <f>(COUNTIFS($K$5:$AT$5,"CN",K19:AT19,"&gt;="&amp;9))+(SUMIFS(K19:AT19,$K$5:$AT$5,"CN",K19:AT19,"&lt;="&amp;8)/8)</f>
        <v>0</v>
      </c>
      <c r="BA18" s="444">
        <f t="shared" ref="BA18" si="40">AU18*230000</f>
        <v>690000</v>
      </c>
      <c r="BB18" s="437">
        <f t="shared" ref="BB18" si="41">AW18*32000</f>
        <v>0</v>
      </c>
      <c r="BC18" s="437"/>
      <c r="BD18" s="437"/>
      <c r="BE18" s="437">
        <f t="shared" ref="BE18" si="42">AY18*450000</f>
        <v>0</v>
      </c>
      <c r="BF18" s="437"/>
      <c r="BG18" s="437"/>
      <c r="BH18" s="439">
        <f t="shared" ref="BH18" si="43">BA18+BB18+BE18</f>
        <v>690000</v>
      </c>
    </row>
    <row r="19" spans="1:60" s="311" customFormat="1" x14ac:dyDescent="0.25">
      <c r="A19" s="447"/>
      <c r="B19" s="447"/>
      <c r="C19" s="449"/>
      <c r="D19" s="447"/>
      <c r="E19" s="447"/>
      <c r="F19" s="447"/>
      <c r="G19" s="310" t="s">
        <v>665</v>
      </c>
      <c r="AU19" s="451"/>
      <c r="AV19" s="453"/>
      <c r="AW19" s="441"/>
      <c r="AX19" s="441"/>
      <c r="AY19" s="438"/>
      <c r="AZ19" s="443"/>
      <c r="BA19" s="445"/>
      <c r="BB19" s="438"/>
      <c r="BC19" s="438"/>
      <c r="BD19" s="438"/>
      <c r="BE19" s="438"/>
      <c r="BF19" s="438"/>
      <c r="BG19" s="438"/>
      <c r="BH19" s="440"/>
    </row>
    <row r="20" spans="1:60" x14ac:dyDescent="0.25">
      <c r="A20" s="446">
        <v>8</v>
      </c>
      <c r="B20" s="446"/>
      <c r="C20" s="448" t="s">
        <v>671</v>
      </c>
      <c r="D20" s="446"/>
      <c r="E20" s="446"/>
      <c r="F20" s="446"/>
      <c r="G20" s="307" t="s">
        <v>661</v>
      </c>
      <c r="N20" s="308">
        <v>8</v>
      </c>
      <c r="O20" s="308">
        <v>8</v>
      </c>
      <c r="Q20" s="308">
        <v>8</v>
      </c>
      <c r="R20" s="308">
        <v>8</v>
      </c>
      <c r="S20" s="308">
        <v>8</v>
      </c>
      <c r="AU20" s="450">
        <f t="shared" ref="AU20" si="44">SUM(H20:AT20)/8</f>
        <v>5</v>
      </c>
      <c r="AV20" s="452">
        <f t="shared" ref="AV20" si="45">(SUMIFS(K20:AT20,$K$5:$AT$5,"&lt;&gt;"&amp;"CN",K20:AT20,"&gt;"&amp;9))-((COUNTIFS($K$5:$AT$5,"&lt;&gt;"&amp;"CN",K20:AT20,"&gt;"&amp;9))*9.5)</f>
        <v>0</v>
      </c>
      <c r="AW20" s="438">
        <f t="shared" ref="AW20" si="46">SUM(H21:AT21)</f>
        <v>0</v>
      </c>
      <c r="AX20" s="438">
        <f>(SUMIFS(K21:AT21,$K$5:$AT$5,"&lt;&gt;"&amp;"CN",K21:AT21,"&gt;"&amp;9))-((COUNTIFS($K$5:$AT$5,"&lt;&gt;"&amp;"CN",K21:AT21,"&gt;"&amp;9))*9.5)</f>
        <v>0</v>
      </c>
      <c r="AY20" s="437">
        <f>(COUNTIFS($K$5:$AT$5,"CN",K20:AT20,"&gt;="&amp;9))+(SUMIFS(K20:AT20,$K$5:$AT$5,"CN",K20:AT20,"&lt;="&amp;8)/8)</f>
        <v>0</v>
      </c>
      <c r="AZ20" s="442">
        <f>(COUNTIFS($K$5:$AT$5,"CN",K21:AT21,"&gt;="&amp;9))+(SUMIFS(K21:AT21,$K$5:$AT$5,"CN",K21:AT21,"&lt;="&amp;8)/8)</f>
        <v>0</v>
      </c>
      <c r="BA20" s="444">
        <f t="shared" ref="BA20" si="47">AU20*230000</f>
        <v>1150000</v>
      </c>
      <c r="BB20" s="437">
        <f t="shared" ref="BB20" si="48">AW20*32000</f>
        <v>0</v>
      </c>
      <c r="BC20" s="437"/>
      <c r="BD20" s="437"/>
      <c r="BE20" s="437">
        <f t="shared" ref="BE20" si="49">AY20*450000</f>
        <v>0</v>
      </c>
      <c r="BF20" s="437"/>
      <c r="BG20" s="437"/>
      <c r="BH20" s="439">
        <f t="shared" ref="BH20" si="50">BA20+BB20+BE20</f>
        <v>1150000</v>
      </c>
    </row>
    <row r="21" spans="1:60" s="311" customFormat="1" x14ac:dyDescent="0.25">
      <c r="A21" s="447"/>
      <c r="B21" s="447"/>
      <c r="C21" s="449"/>
      <c r="D21" s="447"/>
      <c r="E21" s="447"/>
      <c r="F21" s="447"/>
      <c r="G21" s="310" t="s">
        <v>665</v>
      </c>
      <c r="AU21" s="451"/>
      <c r="AV21" s="453"/>
      <c r="AW21" s="441"/>
      <c r="AX21" s="441"/>
      <c r="AY21" s="438"/>
      <c r="AZ21" s="443"/>
      <c r="BA21" s="445"/>
      <c r="BB21" s="438"/>
      <c r="BC21" s="438"/>
      <c r="BD21" s="438"/>
      <c r="BE21" s="438"/>
      <c r="BF21" s="438"/>
      <c r="BG21" s="438"/>
      <c r="BH21" s="440"/>
    </row>
    <row r="22" spans="1:60" x14ac:dyDescent="0.25">
      <c r="A22" s="446">
        <v>9</v>
      </c>
      <c r="B22" s="446"/>
      <c r="C22" s="448" t="s">
        <v>672</v>
      </c>
      <c r="D22" s="446"/>
      <c r="E22" s="446"/>
      <c r="F22" s="446"/>
      <c r="G22" s="307" t="s">
        <v>661</v>
      </c>
      <c r="T22" s="308">
        <v>8</v>
      </c>
      <c r="U22" s="308">
        <v>8</v>
      </c>
      <c r="V22" s="308">
        <v>8</v>
      </c>
      <c r="W22" s="308"/>
      <c r="AU22" s="450">
        <f t="shared" ref="AU22" si="51">SUM(H22:AT22)/8</f>
        <v>3</v>
      </c>
      <c r="AV22" s="452">
        <f t="shared" ref="AV22" si="52">(SUMIFS(K22:AT22,$K$5:$AT$5,"&lt;&gt;"&amp;"CN",K22:AT22,"&gt;"&amp;9))-((COUNTIFS($K$5:$AT$5,"&lt;&gt;"&amp;"CN",K22:AT22,"&gt;"&amp;9))*9.5)</f>
        <v>0</v>
      </c>
      <c r="AW22" s="438">
        <f t="shared" ref="AW22" si="53">SUM(H23:AT23)</f>
        <v>0</v>
      </c>
      <c r="AX22" s="438">
        <f>(SUMIFS(K23:AT23,$K$5:$AT$5,"&lt;&gt;"&amp;"CN",K23:AT23,"&gt;"&amp;9))-((COUNTIFS($K$5:$AT$5,"&lt;&gt;"&amp;"CN",K23:AT23,"&gt;"&amp;9))*9.5)</f>
        <v>0</v>
      </c>
      <c r="AY22" s="437">
        <f>(COUNTIFS($K$5:$AT$5,"CN",K22:AT22,"&gt;="&amp;9))+(SUMIFS(K22:AT22,$K$5:$AT$5,"CN",K22:AT22,"&lt;="&amp;8)/8)</f>
        <v>0</v>
      </c>
      <c r="AZ22" s="442">
        <f>(COUNTIFS($K$5:$AT$5,"CN",K23:AT23,"&gt;="&amp;9))+(SUMIFS(K23:AT23,$K$5:$AT$5,"CN",K23:AT23,"&lt;="&amp;8)/8)</f>
        <v>0</v>
      </c>
      <c r="BA22" s="444"/>
      <c r="BB22" s="437">
        <f t="shared" ref="BB22" si="54">AW22*32000</f>
        <v>0</v>
      </c>
      <c r="BC22" s="437"/>
      <c r="BD22" s="437"/>
      <c r="BE22" s="437">
        <f t="shared" ref="BE22" si="55">AY22*450000</f>
        <v>0</v>
      </c>
      <c r="BF22" s="437"/>
      <c r="BG22" s="437"/>
      <c r="BH22" s="439">
        <f t="shared" ref="BH22" si="56">BA22+BB22+BE22</f>
        <v>0</v>
      </c>
    </row>
    <row r="23" spans="1:60" s="311" customFormat="1" x14ac:dyDescent="0.25">
      <c r="A23" s="447"/>
      <c r="B23" s="447"/>
      <c r="C23" s="449"/>
      <c r="D23" s="447"/>
      <c r="E23" s="447"/>
      <c r="F23" s="447"/>
      <c r="G23" s="310" t="s">
        <v>665</v>
      </c>
      <c r="AU23" s="451"/>
      <c r="AV23" s="453"/>
      <c r="AW23" s="441"/>
      <c r="AX23" s="441"/>
      <c r="AY23" s="438"/>
      <c r="AZ23" s="443"/>
      <c r="BA23" s="445"/>
      <c r="BB23" s="438"/>
      <c r="BC23" s="438"/>
      <c r="BD23" s="438"/>
      <c r="BE23" s="438"/>
      <c r="BF23" s="438"/>
      <c r="BG23" s="438"/>
      <c r="BH23" s="440"/>
    </row>
    <row r="24" spans="1:60" s="314" customFormat="1" x14ac:dyDescent="0.25">
      <c r="A24" s="463">
        <v>10</v>
      </c>
      <c r="B24" s="463"/>
      <c r="C24" s="465" t="s">
        <v>673</v>
      </c>
      <c r="D24" s="463"/>
      <c r="E24" s="463"/>
      <c r="F24" s="463"/>
      <c r="G24" s="313" t="s">
        <v>661</v>
      </c>
      <c r="H24" s="315"/>
      <c r="I24" s="315"/>
      <c r="J24" s="315">
        <v>8</v>
      </c>
      <c r="K24" s="315">
        <v>8</v>
      </c>
      <c r="L24" s="315">
        <v>8</v>
      </c>
      <c r="M24" s="315">
        <v>8</v>
      </c>
      <c r="N24" s="316">
        <v>8</v>
      </c>
      <c r="O24" s="316">
        <v>4</v>
      </c>
      <c r="P24" s="320"/>
      <c r="Q24" s="316">
        <v>8</v>
      </c>
      <c r="R24" s="316">
        <v>8</v>
      </c>
      <c r="S24" s="316">
        <v>8</v>
      </c>
      <c r="T24" s="316">
        <v>8</v>
      </c>
      <c r="U24" s="316">
        <v>8</v>
      </c>
      <c r="V24" s="314">
        <v>8</v>
      </c>
      <c r="AU24" s="467">
        <f t="shared" ref="AU24" si="57">SUM(H24:AT24)/8</f>
        <v>11.5</v>
      </c>
      <c r="AV24" s="469">
        <f t="shared" ref="AV24" si="58">(SUMIFS(K24:AT24,$K$5:$AT$5,"&lt;&gt;"&amp;"CN",K24:AT24,"&gt;"&amp;9))-((COUNTIFS($K$5:$AT$5,"&lt;&gt;"&amp;"CN",K24:AT24,"&gt;"&amp;9))*9.5)</f>
        <v>0</v>
      </c>
      <c r="AW24" s="455">
        <f t="shared" ref="AW24" si="59">SUM(H25:AT25)</f>
        <v>4.5</v>
      </c>
      <c r="AX24" s="455">
        <f>(SUMIFS(K25:AT25,$K$5:$AT$5,"&lt;&gt;"&amp;"CN",K25:AT25,"&gt;"&amp;9))-((COUNTIFS($K$5:$AT$5,"&lt;&gt;"&amp;"CN",K25:AT25,"&gt;"&amp;9))*9.5)</f>
        <v>0</v>
      </c>
      <c r="AY24" s="454">
        <f>(COUNTIFS($K$5:$AT$5,"CN",K24:AT24,"&gt;="&amp;9))+(SUMIFS(K24:AT24,$K$5:$AT$5,"CN",K24:AT24,"&lt;="&amp;8)/8)</f>
        <v>0</v>
      </c>
      <c r="AZ24" s="459">
        <f>(COUNTIFS($K$5:$AT$5,"CN",K25:AT25,"&gt;="&amp;9))+(SUMIFS(K25:AT25,$K$5:$AT$5,"CN",K25:AT25,"&lt;="&amp;8)/8)</f>
        <v>0</v>
      </c>
      <c r="BA24" s="461">
        <f t="shared" ref="BA24" si="60">AU24*230000</f>
        <v>2645000</v>
      </c>
      <c r="BB24" s="454">
        <f t="shared" ref="BB24" si="61">AW24*32000</f>
        <v>144000</v>
      </c>
      <c r="BC24" s="454"/>
      <c r="BD24" s="454"/>
      <c r="BE24" s="454">
        <f t="shared" ref="BE24" si="62">AY24*450000</f>
        <v>0</v>
      </c>
      <c r="BF24" s="454"/>
      <c r="BG24" s="454"/>
      <c r="BH24" s="456">
        <f t="shared" ref="BH24" si="63">BA24+BB24+BE24</f>
        <v>2789000</v>
      </c>
    </row>
    <row r="25" spans="1:60" s="318" customFormat="1" x14ac:dyDescent="0.25">
      <c r="A25" s="464"/>
      <c r="B25" s="464"/>
      <c r="C25" s="466"/>
      <c r="D25" s="464"/>
      <c r="E25" s="464"/>
      <c r="F25" s="464"/>
      <c r="G25" s="317" t="s">
        <v>665</v>
      </c>
      <c r="H25" s="319"/>
      <c r="I25" s="319"/>
      <c r="J25" s="319">
        <v>4.5</v>
      </c>
      <c r="K25" s="319"/>
      <c r="L25" s="319"/>
      <c r="M25" s="319"/>
      <c r="S25" s="321"/>
      <c r="AU25" s="468"/>
      <c r="AV25" s="470"/>
      <c r="AW25" s="458"/>
      <c r="AX25" s="458"/>
      <c r="AY25" s="455"/>
      <c r="AZ25" s="460"/>
      <c r="BA25" s="462"/>
      <c r="BB25" s="455"/>
      <c r="BC25" s="455"/>
      <c r="BD25" s="455"/>
      <c r="BE25" s="455"/>
      <c r="BF25" s="455"/>
      <c r="BG25" s="455"/>
      <c r="BH25" s="457"/>
    </row>
    <row r="26" spans="1:60" s="314" customFormat="1" x14ac:dyDescent="0.25">
      <c r="A26" s="463">
        <v>11</v>
      </c>
      <c r="B26" s="463"/>
      <c r="C26" s="465" t="s">
        <v>674</v>
      </c>
      <c r="D26" s="463"/>
      <c r="E26" s="463"/>
      <c r="F26" s="463"/>
      <c r="G26" s="313" t="s">
        <v>661</v>
      </c>
      <c r="H26" s="315"/>
      <c r="I26" s="315"/>
      <c r="J26" s="315">
        <v>8</v>
      </c>
      <c r="K26" s="315">
        <v>8</v>
      </c>
      <c r="L26" s="315"/>
      <c r="M26" s="315">
        <v>8</v>
      </c>
      <c r="N26" s="316">
        <v>8</v>
      </c>
      <c r="O26" s="316">
        <v>4</v>
      </c>
      <c r="P26" s="322"/>
      <c r="Q26" s="314">
        <v>8</v>
      </c>
      <c r="R26" s="316">
        <v>8</v>
      </c>
      <c r="S26" s="316">
        <v>8</v>
      </c>
      <c r="T26" s="316">
        <v>8</v>
      </c>
      <c r="U26" s="316">
        <v>8</v>
      </c>
      <c r="V26" s="316">
        <v>8</v>
      </c>
      <c r="AU26" s="467">
        <f t="shared" ref="AU26" si="64">SUM(H26:AT26)/8</f>
        <v>10.5</v>
      </c>
      <c r="AV26" s="469">
        <f t="shared" ref="AV26" si="65">(SUMIFS(K26:AT26,$K$5:$AT$5,"&lt;&gt;"&amp;"CN",K26:AT26,"&gt;"&amp;9))-((COUNTIFS($K$5:$AT$5,"&lt;&gt;"&amp;"CN",K26:AT26,"&gt;"&amp;9))*9.5)</f>
        <v>0</v>
      </c>
      <c r="AW26" s="455">
        <f t="shared" ref="AW26" si="66">SUM(H27:AT27)</f>
        <v>4.5</v>
      </c>
      <c r="AX26" s="455">
        <f>(SUMIFS(K27:AT27,$K$5:$AT$5,"&lt;&gt;"&amp;"CN",K27:AT27,"&gt;"&amp;9))-((COUNTIFS($K$5:$AT$5,"&lt;&gt;"&amp;"CN",K27:AT27,"&gt;"&amp;9))*9.5)</f>
        <v>0</v>
      </c>
      <c r="AY26" s="454">
        <f>(COUNTIFS($K$5:$AT$5,"CN",K26:AT26,"&gt;="&amp;9))+(SUMIFS(K26:AT26,$K$5:$AT$5,"CN",K26:AT26,"&lt;="&amp;8)/8)</f>
        <v>0</v>
      </c>
      <c r="AZ26" s="459">
        <f>(COUNTIFS($K$5:$AT$5,"CN",K27:AT27,"&gt;="&amp;9))+(SUMIFS(K27:AT27,$K$5:$AT$5,"CN",K27:AT27,"&lt;="&amp;8)/8)</f>
        <v>0</v>
      </c>
      <c r="BA26" s="461">
        <f t="shared" ref="BA26" si="67">AU26*230000</f>
        <v>2415000</v>
      </c>
      <c r="BB26" s="454">
        <f t="shared" ref="BB26" si="68">AW26*32000</f>
        <v>144000</v>
      </c>
      <c r="BC26" s="454"/>
      <c r="BD26" s="454"/>
      <c r="BE26" s="454">
        <f t="shared" ref="BE26" si="69">AY26*450000</f>
        <v>0</v>
      </c>
      <c r="BF26" s="454"/>
      <c r="BG26" s="454"/>
      <c r="BH26" s="456">
        <f t="shared" ref="BH26" si="70">BA26+BB26+BE26</f>
        <v>2559000</v>
      </c>
    </row>
    <row r="27" spans="1:60" s="318" customFormat="1" x14ac:dyDescent="0.25">
      <c r="A27" s="464"/>
      <c r="B27" s="464"/>
      <c r="C27" s="466"/>
      <c r="D27" s="464"/>
      <c r="E27" s="464"/>
      <c r="F27" s="464"/>
      <c r="G27" s="317" t="s">
        <v>665</v>
      </c>
      <c r="H27" s="319"/>
      <c r="I27" s="319"/>
      <c r="J27" s="319">
        <v>4.5</v>
      </c>
      <c r="K27" s="319"/>
      <c r="L27" s="319"/>
      <c r="M27" s="319"/>
      <c r="AU27" s="468"/>
      <c r="AV27" s="470"/>
      <c r="AW27" s="458"/>
      <c r="AX27" s="458"/>
      <c r="AY27" s="455"/>
      <c r="AZ27" s="460"/>
      <c r="BA27" s="462"/>
      <c r="BB27" s="455"/>
      <c r="BC27" s="455"/>
      <c r="BD27" s="455"/>
      <c r="BE27" s="455"/>
      <c r="BF27" s="455"/>
      <c r="BG27" s="455"/>
      <c r="BH27" s="457"/>
    </row>
    <row r="28" spans="1:60" s="314" customFormat="1" x14ac:dyDescent="0.25">
      <c r="A28" s="463">
        <v>15</v>
      </c>
      <c r="B28" s="463"/>
      <c r="C28" s="465" t="s">
        <v>675</v>
      </c>
      <c r="D28" s="463"/>
      <c r="E28" s="463"/>
      <c r="F28" s="463"/>
      <c r="G28" s="313" t="s">
        <v>661</v>
      </c>
      <c r="H28" s="315"/>
      <c r="I28" s="315"/>
      <c r="J28" s="315"/>
      <c r="K28" s="315"/>
      <c r="L28" s="315"/>
      <c r="M28" s="315"/>
      <c r="N28" s="316">
        <v>8</v>
      </c>
      <c r="O28" s="316">
        <v>8</v>
      </c>
      <c r="Q28" s="316">
        <v>8</v>
      </c>
      <c r="R28" s="316">
        <v>4</v>
      </c>
      <c r="AU28" s="467">
        <f t="shared" ref="AU28" si="71">SUM(H28:AT28)/8</f>
        <v>3.5</v>
      </c>
      <c r="AV28" s="469">
        <f t="shared" ref="AV28" si="72">(SUMIFS(K28:AT28,$K$5:$AT$5,"&lt;&gt;"&amp;"CN",K28:AT28,"&gt;"&amp;9))-((COUNTIFS($K$5:$AT$5,"&lt;&gt;"&amp;"CN",K28:AT28,"&gt;"&amp;9))*9.5)</f>
        <v>0</v>
      </c>
      <c r="AW28" s="455">
        <f t="shared" ref="AW28" si="73">SUM(H29:AT29)</f>
        <v>0</v>
      </c>
      <c r="AX28" s="455">
        <f>(SUMIFS(K29:AT29,$K$5:$AT$5,"&lt;&gt;"&amp;"CN",K29:AT29,"&gt;"&amp;9))-((COUNTIFS($K$5:$AT$5,"&lt;&gt;"&amp;"CN",K29:AT29,"&gt;"&amp;9))*9.5)</f>
        <v>0</v>
      </c>
      <c r="AY28" s="454">
        <f>(COUNTIFS($K$5:$AT$5,"CN",K28:AT28,"&gt;="&amp;9))+(SUMIFS(K28:AT28,$K$5:$AT$5,"CN",K28:AT28,"&lt;="&amp;8)/8)</f>
        <v>0</v>
      </c>
      <c r="AZ28" s="459">
        <f>(COUNTIFS($K$5:$AT$5,"CN",K29:AT29,"&gt;="&amp;9))+(SUMIFS(K29:AT29,$K$5:$AT$5,"CN",K29:AT29,"&lt;="&amp;8)/8)</f>
        <v>0</v>
      </c>
      <c r="BA28" s="461">
        <f t="shared" ref="BA28" si="74">AU28*230000</f>
        <v>805000</v>
      </c>
      <c r="BB28" s="454">
        <f t="shared" ref="BB28" si="75">AW28*32000</f>
        <v>0</v>
      </c>
      <c r="BC28" s="454"/>
      <c r="BD28" s="454"/>
      <c r="BE28" s="454">
        <f t="shared" ref="BE28" si="76">AY28*450000</f>
        <v>0</v>
      </c>
      <c r="BF28" s="454"/>
      <c r="BG28" s="454"/>
      <c r="BH28" s="456">
        <f t="shared" ref="BH28" si="77">BA28+BB28+BE28</f>
        <v>805000</v>
      </c>
    </row>
    <row r="29" spans="1:60" s="318" customFormat="1" x14ac:dyDescent="0.25">
      <c r="A29" s="464"/>
      <c r="B29" s="464"/>
      <c r="C29" s="466"/>
      <c r="D29" s="464"/>
      <c r="E29" s="464"/>
      <c r="F29" s="464"/>
      <c r="G29" s="317" t="s">
        <v>665</v>
      </c>
      <c r="H29" s="319"/>
      <c r="I29" s="319"/>
      <c r="J29" s="319"/>
      <c r="K29" s="319"/>
      <c r="L29" s="319"/>
      <c r="M29" s="319"/>
      <c r="R29" s="321"/>
      <c r="AU29" s="468"/>
      <c r="AV29" s="470"/>
      <c r="AW29" s="458"/>
      <c r="AX29" s="458"/>
      <c r="AY29" s="455"/>
      <c r="AZ29" s="460"/>
      <c r="BA29" s="462"/>
      <c r="BB29" s="455"/>
      <c r="BC29" s="455"/>
      <c r="BD29" s="455"/>
      <c r="BE29" s="455"/>
      <c r="BF29" s="455"/>
      <c r="BG29" s="455"/>
      <c r="BH29" s="457"/>
    </row>
    <row r="30" spans="1:60" x14ac:dyDescent="0.25">
      <c r="A30" s="446">
        <v>16</v>
      </c>
      <c r="B30" s="446"/>
      <c r="C30" s="448" t="s">
        <v>676</v>
      </c>
      <c r="D30" s="446"/>
      <c r="E30" s="446"/>
      <c r="F30" s="446"/>
      <c r="G30" s="307" t="s">
        <v>661</v>
      </c>
      <c r="N30" s="308">
        <v>8</v>
      </c>
      <c r="O30" s="308">
        <v>8</v>
      </c>
      <c r="Q30" s="308">
        <v>8</v>
      </c>
      <c r="R30" s="308">
        <v>8</v>
      </c>
      <c r="AU30" s="450">
        <f t="shared" ref="AU30" si="78">SUM(H30:AT30)/8</f>
        <v>4</v>
      </c>
      <c r="AV30" s="452">
        <f t="shared" ref="AV30" si="79">(SUMIFS(K30:AT30,$K$5:$AT$5,"&lt;&gt;"&amp;"CN",K30:AT30,"&gt;"&amp;9))-((COUNTIFS($K$5:$AT$5,"&lt;&gt;"&amp;"CN",K30:AT30,"&gt;"&amp;9))*9.5)</f>
        <v>0</v>
      </c>
      <c r="AW30" s="438">
        <f t="shared" ref="AW30" si="80">SUM(H31:AT31)</f>
        <v>0</v>
      </c>
      <c r="AX30" s="438">
        <f>(SUMIFS(K31:AT31,$K$5:$AT$5,"&lt;&gt;"&amp;"CN",K31:AT31,"&gt;"&amp;9))-((COUNTIFS($K$5:$AT$5,"&lt;&gt;"&amp;"CN",K31:AT31,"&gt;"&amp;9))*9.5)</f>
        <v>0</v>
      </c>
      <c r="AY30" s="437">
        <f>(COUNTIFS($K$5:$AT$5,"CN",K30:AT30,"&gt;="&amp;9))+(SUMIFS(K30:AT30,$K$5:$AT$5,"CN",K30:AT30,"&lt;="&amp;8)/8)</f>
        <v>0</v>
      </c>
      <c r="AZ30" s="442">
        <f>(COUNTIFS($K$5:$AT$5,"CN",K31:AT31,"&gt;="&amp;9))+(SUMIFS(K31:AT31,$K$5:$AT$5,"CN",K31:AT31,"&lt;="&amp;8)/8)</f>
        <v>0</v>
      </c>
      <c r="BA30" s="444">
        <f t="shared" ref="BA30" si="81">AU30*230000</f>
        <v>920000</v>
      </c>
      <c r="BB30" s="437">
        <f t="shared" ref="BB30" si="82">AW30*32000</f>
        <v>0</v>
      </c>
      <c r="BC30" s="437"/>
      <c r="BD30" s="437"/>
      <c r="BE30" s="437">
        <f t="shared" ref="BE30" si="83">AY30*450000</f>
        <v>0</v>
      </c>
      <c r="BF30" s="437"/>
      <c r="BG30" s="437"/>
      <c r="BH30" s="439">
        <f t="shared" ref="BH30" si="84">BA30+BB30+BE30</f>
        <v>920000</v>
      </c>
    </row>
    <row r="31" spans="1:60" s="311" customFormat="1" x14ac:dyDescent="0.25">
      <c r="A31" s="447"/>
      <c r="B31" s="447"/>
      <c r="C31" s="449"/>
      <c r="D31" s="447"/>
      <c r="E31" s="447"/>
      <c r="F31" s="447"/>
      <c r="G31" s="310" t="s">
        <v>665</v>
      </c>
      <c r="AU31" s="451"/>
      <c r="AV31" s="453"/>
      <c r="AW31" s="441"/>
      <c r="AX31" s="441"/>
      <c r="AY31" s="438"/>
      <c r="AZ31" s="443"/>
      <c r="BA31" s="445"/>
      <c r="BB31" s="438"/>
      <c r="BC31" s="438"/>
      <c r="BD31" s="438"/>
      <c r="BE31" s="438"/>
      <c r="BF31" s="438"/>
      <c r="BG31" s="438"/>
      <c r="BH31" s="440"/>
    </row>
    <row r="32" spans="1:60" x14ac:dyDescent="0.25">
      <c r="A32" s="446">
        <v>17</v>
      </c>
      <c r="B32" s="446"/>
      <c r="C32" s="448" t="s">
        <v>677</v>
      </c>
      <c r="D32" s="446"/>
      <c r="E32" s="446"/>
      <c r="F32" s="446"/>
      <c r="G32" s="307" t="s">
        <v>661</v>
      </c>
      <c r="N32" s="308">
        <v>8</v>
      </c>
      <c r="O32" s="308">
        <v>8</v>
      </c>
      <c r="Q32" s="308">
        <v>8</v>
      </c>
      <c r="R32" s="308">
        <v>8</v>
      </c>
      <c r="S32" s="308">
        <v>8</v>
      </c>
      <c r="T32" s="308">
        <v>8</v>
      </c>
      <c r="U32" s="308">
        <v>8</v>
      </c>
      <c r="V32" s="308">
        <v>8</v>
      </c>
      <c r="X32" s="323"/>
      <c r="Z32" s="323"/>
      <c r="AA32" s="323"/>
      <c r="AU32" s="450">
        <f t="shared" ref="AU32" si="85">SUM(H32:AT32)/8</f>
        <v>8</v>
      </c>
      <c r="AV32" s="452">
        <f t="shared" ref="AV32" si="86">(SUMIFS(K32:AT32,$K$5:$AT$5,"&lt;&gt;"&amp;"CN",K32:AT32,"&gt;"&amp;9))-((COUNTIFS($K$5:$AT$5,"&lt;&gt;"&amp;"CN",K32:AT32,"&gt;"&amp;9))*9.5)</f>
        <v>0</v>
      </c>
      <c r="AW32" s="438">
        <f t="shared" ref="AW32" si="87">SUM(H33:AT33)</f>
        <v>0</v>
      </c>
      <c r="AX32" s="438">
        <f>(SUMIFS(K33:AT33,$K$5:$AT$5,"&lt;&gt;"&amp;"CN",K33:AT33,"&gt;"&amp;9))-((COUNTIFS($K$5:$AT$5,"&lt;&gt;"&amp;"CN",K33:AT33,"&gt;"&amp;9))*9.5)</f>
        <v>0</v>
      </c>
      <c r="AY32" s="437">
        <f t="shared" ref="AY32:AY38" si="88">(COUNTIFS($K$5:$AT$5,"CN",K32:AT32,"&gt;="&amp;9))+(SUMIFS(K32:AT32,$K$5:$AT$5,"CN",K32:AT32,"&lt;="&amp;8)/8)</f>
        <v>0</v>
      </c>
      <c r="AZ32" s="442">
        <f>(COUNTIFS($K$5:$AT$5,"CN",K33:AT33,"&gt;="&amp;9))+(SUMIFS(K33:AT33,$K$5:$AT$5,"CN",K33:AT33,"&lt;="&amp;8)/8)</f>
        <v>0</v>
      </c>
      <c r="BA32" s="444">
        <f t="shared" ref="BA32:BA38" si="89">AU32*230000</f>
        <v>1840000</v>
      </c>
      <c r="BB32" s="437">
        <f t="shared" ref="BB32" si="90">AW32*32000</f>
        <v>0</v>
      </c>
      <c r="BC32" s="437"/>
      <c r="BD32" s="437"/>
      <c r="BE32" s="437">
        <f t="shared" ref="BE32" si="91">AY32*450000</f>
        <v>0</v>
      </c>
      <c r="BF32" s="437"/>
      <c r="BG32" s="437"/>
      <c r="BH32" s="439">
        <f t="shared" ref="BH32" si="92">BA32+BB32+BE32</f>
        <v>1840000</v>
      </c>
    </row>
    <row r="33" spans="1:60" s="311" customFormat="1" x14ac:dyDescent="0.25">
      <c r="A33" s="447"/>
      <c r="B33" s="447"/>
      <c r="C33" s="449"/>
      <c r="D33" s="447"/>
      <c r="E33" s="447"/>
      <c r="F33" s="447"/>
      <c r="G33" s="310" t="s">
        <v>665</v>
      </c>
      <c r="AU33" s="451"/>
      <c r="AV33" s="453"/>
      <c r="AW33" s="441"/>
      <c r="AX33" s="441"/>
      <c r="AY33" s="438"/>
      <c r="AZ33" s="443"/>
      <c r="BA33" s="445"/>
      <c r="BB33" s="438"/>
      <c r="BC33" s="438"/>
      <c r="BD33" s="438"/>
      <c r="BE33" s="438"/>
      <c r="BF33" s="438"/>
      <c r="BG33" s="438"/>
      <c r="BH33" s="440"/>
    </row>
    <row r="34" spans="1:60" x14ac:dyDescent="0.25">
      <c r="A34" s="446">
        <v>18</v>
      </c>
      <c r="B34" s="446"/>
      <c r="C34" s="448" t="s">
        <v>678</v>
      </c>
      <c r="D34" s="446"/>
      <c r="E34" s="446"/>
      <c r="F34" s="446"/>
      <c r="G34" s="307" t="s">
        <v>661</v>
      </c>
      <c r="R34" s="324">
        <v>8</v>
      </c>
      <c r="AU34" s="450"/>
      <c r="AV34" s="452">
        <f t="shared" ref="AV34" si="93">(SUMIFS(K34:AT34,$K$5:$AT$5,"&lt;&gt;"&amp;"CN",K34:AT34,"&gt;"&amp;9))-((COUNTIFS($K$5:$AT$5,"&lt;&gt;"&amp;"CN",K34:AT34,"&gt;"&amp;9))*9.5)</f>
        <v>0</v>
      </c>
      <c r="AW34" s="438">
        <f t="shared" ref="AW34" si="94">SUM(H35:AT35)</f>
        <v>0</v>
      </c>
      <c r="AX34" s="438">
        <f>(SUMIFS(K35:AT35,$K$5:$AT$5,"&lt;&gt;"&amp;"CN",K35:AT35,"&gt;"&amp;9))-((COUNTIFS($K$5:$AT$5,"&lt;&gt;"&amp;"CN",K35:AT35,"&gt;"&amp;9))*9.5)</f>
        <v>0</v>
      </c>
      <c r="AY34" s="437">
        <f t="shared" si="88"/>
        <v>0</v>
      </c>
      <c r="AZ34" s="442">
        <f>(COUNTIFS($K$5:$AT$5,"CN",K35:AT35,"&gt;="&amp;9))+(SUMIFS(K35:AT35,$K$5:$AT$5,"CN",K35:AT35,"&lt;="&amp;8)/8)</f>
        <v>0</v>
      </c>
      <c r="BA34" s="444">
        <f t="shared" si="89"/>
        <v>0</v>
      </c>
      <c r="BB34" s="437">
        <f t="shared" ref="BB34" si="95">AW34*32000</f>
        <v>0</v>
      </c>
      <c r="BC34" s="437"/>
      <c r="BD34" s="437"/>
      <c r="BE34" s="437">
        <f t="shared" ref="BE34" si="96">AY34*450000</f>
        <v>0</v>
      </c>
      <c r="BF34" s="437"/>
      <c r="BG34" s="437"/>
      <c r="BH34" s="439">
        <f t="shared" ref="BH34" si="97">BA34+BB34+BE34</f>
        <v>0</v>
      </c>
    </row>
    <row r="35" spans="1:60" s="311" customFormat="1" x14ac:dyDescent="0.25">
      <c r="A35" s="447"/>
      <c r="B35" s="447"/>
      <c r="C35" s="449"/>
      <c r="D35" s="447"/>
      <c r="E35" s="447"/>
      <c r="F35" s="447"/>
      <c r="G35" s="310" t="s">
        <v>665</v>
      </c>
      <c r="AU35" s="451"/>
      <c r="AV35" s="453"/>
      <c r="AW35" s="441"/>
      <c r="AX35" s="441"/>
      <c r="AY35" s="438"/>
      <c r="AZ35" s="443"/>
      <c r="BA35" s="445"/>
      <c r="BB35" s="438"/>
      <c r="BC35" s="438"/>
      <c r="BD35" s="438"/>
      <c r="BE35" s="438"/>
      <c r="BF35" s="438"/>
      <c r="BG35" s="438"/>
      <c r="BH35" s="440"/>
    </row>
    <row r="36" spans="1:60" s="326" customFormat="1" x14ac:dyDescent="0.25">
      <c r="A36" s="446">
        <v>19</v>
      </c>
      <c r="B36" s="446"/>
      <c r="C36" s="448" t="s">
        <v>679</v>
      </c>
      <c r="D36" s="446"/>
      <c r="E36" s="446"/>
      <c r="F36" s="446"/>
      <c r="G36" s="325" t="s">
        <v>661</v>
      </c>
      <c r="R36" s="327">
        <v>8</v>
      </c>
      <c r="S36" s="327">
        <v>8</v>
      </c>
      <c r="T36" s="326">
        <v>8</v>
      </c>
      <c r="U36" s="327">
        <v>8</v>
      </c>
      <c r="V36" s="326">
        <v>8</v>
      </c>
      <c r="X36" s="326" t="s">
        <v>664</v>
      </c>
      <c r="AU36" s="450">
        <f t="shared" ref="AU36" si="98">SUM(H36:AT36)/8</f>
        <v>5</v>
      </c>
      <c r="AV36" s="452">
        <f t="shared" ref="AV36" si="99">(SUMIFS(K36:AT36,$K$5:$AT$5,"&lt;&gt;"&amp;"CN",K36:AT36,"&gt;"&amp;9))-((COUNTIFS($K$5:$AT$5,"&lt;&gt;"&amp;"CN",K36:AT36,"&gt;"&amp;9))*9.5)</f>
        <v>0</v>
      </c>
      <c r="AW36" s="438">
        <f t="shared" ref="AW36" si="100">SUM(H37:AT37)</f>
        <v>0</v>
      </c>
      <c r="AX36" s="438">
        <f>(SUMIFS(K37:AT37,$K$5:$AT$5,"&lt;&gt;"&amp;"CN",K37:AT37,"&gt;"&amp;9))-((COUNTIFS($K$5:$AT$5,"&lt;&gt;"&amp;"CN",K37:AT37,"&gt;"&amp;9))*9.5)</f>
        <v>0</v>
      </c>
      <c r="AY36" s="437">
        <f t="shared" si="88"/>
        <v>0</v>
      </c>
      <c r="AZ36" s="442">
        <f>(COUNTIFS($K$5:$AT$5,"CN",K37:AT37,"&gt;="&amp;9))+(SUMIFS(K37:AT37,$K$5:$AT$5,"CN",K37:AT37,"&lt;="&amp;8)/8)</f>
        <v>0</v>
      </c>
      <c r="BA36" s="444">
        <f t="shared" si="89"/>
        <v>1150000</v>
      </c>
      <c r="BB36" s="437">
        <f t="shared" ref="BB36" si="101">AW36*32000</f>
        <v>0</v>
      </c>
      <c r="BC36" s="437"/>
      <c r="BD36" s="437"/>
      <c r="BE36" s="437">
        <f t="shared" ref="BE36" si="102">AY36*450000</f>
        <v>0</v>
      </c>
      <c r="BF36" s="437"/>
      <c r="BG36" s="437"/>
      <c r="BH36" s="439">
        <f t="shared" ref="BH36" si="103">BA36+BB36+BE36</f>
        <v>1150000</v>
      </c>
    </row>
    <row r="37" spans="1:60" s="311" customFormat="1" x14ac:dyDescent="0.25">
      <c r="A37" s="447"/>
      <c r="B37" s="447"/>
      <c r="C37" s="449"/>
      <c r="D37" s="447"/>
      <c r="E37" s="447"/>
      <c r="F37" s="447"/>
      <c r="G37" s="310" t="s">
        <v>665</v>
      </c>
      <c r="AU37" s="451"/>
      <c r="AV37" s="453"/>
      <c r="AW37" s="441"/>
      <c r="AX37" s="441"/>
      <c r="AY37" s="438"/>
      <c r="AZ37" s="443"/>
      <c r="BA37" s="445"/>
      <c r="BB37" s="438"/>
      <c r="BC37" s="438"/>
      <c r="BD37" s="438"/>
      <c r="BE37" s="438"/>
      <c r="BF37" s="438"/>
      <c r="BG37" s="438"/>
      <c r="BH37" s="440"/>
    </row>
    <row r="38" spans="1:60" x14ac:dyDescent="0.25">
      <c r="A38" s="446">
        <v>20</v>
      </c>
      <c r="B38" s="446"/>
      <c r="C38" s="448" t="s">
        <v>680</v>
      </c>
      <c r="D38" s="446"/>
      <c r="E38" s="446"/>
      <c r="F38" s="446"/>
      <c r="G38" s="307" t="s">
        <v>661</v>
      </c>
      <c r="U38" s="308">
        <v>8</v>
      </c>
      <c r="V38" s="308">
        <v>8</v>
      </c>
      <c r="AU38" s="450"/>
      <c r="AV38" s="452">
        <f t="shared" ref="AV38" si="104">(SUMIFS(K38:AT38,$K$5:$AT$5,"&lt;&gt;"&amp;"CN",K38:AT38,"&gt;"&amp;9))-((COUNTIFS($K$5:$AT$5,"&lt;&gt;"&amp;"CN",K38:AT38,"&gt;"&amp;9))*9.5)</f>
        <v>0</v>
      </c>
      <c r="AW38" s="438">
        <f t="shared" ref="AW38" si="105">SUM(H39:AT39)</f>
        <v>0</v>
      </c>
      <c r="AX38" s="438">
        <f>(SUMIFS(K39:AT39,$K$5:$AT$5,"&lt;&gt;"&amp;"CN",K39:AT39,"&gt;"&amp;9))-((COUNTIFS($K$5:$AT$5,"&lt;&gt;"&amp;"CN",K39:AT39,"&gt;"&amp;9))*9.5)</f>
        <v>0</v>
      </c>
      <c r="AY38" s="437">
        <f t="shared" si="88"/>
        <v>0</v>
      </c>
      <c r="AZ38" s="442">
        <f>(COUNTIFS($K$5:$AT$5,"CN",K39:AT39,"&gt;="&amp;9))+(SUMIFS(K39:AT39,$K$5:$AT$5,"CN",K39:AT39,"&lt;="&amp;8)/8)</f>
        <v>0</v>
      </c>
      <c r="BA38" s="444">
        <f t="shared" si="89"/>
        <v>0</v>
      </c>
      <c r="BB38" s="437">
        <f t="shared" ref="BB38" si="106">AW38*32000</f>
        <v>0</v>
      </c>
      <c r="BC38" s="437"/>
      <c r="BD38" s="437"/>
      <c r="BE38" s="437">
        <f t="shared" ref="BE38" si="107">AY38*450000</f>
        <v>0</v>
      </c>
      <c r="BF38" s="437"/>
      <c r="BG38" s="437"/>
      <c r="BH38" s="439">
        <f t="shared" ref="BH38" si="108">BA38+BB38+BE38</f>
        <v>0</v>
      </c>
    </row>
    <row r="39" spans="1:60" s="311" customFormat="1" x14ac:dyDescent="0.25">
      <c r="A39" s="447"/>
      <c r="B39" s="447"/>
      <c r="C39" s="449"/>
      <c r="D39" s="447"/>
      <c r="E39" s="447"/>
      <c r="F39" s="447"/>
      <c r="G39" s="310" t="s">
        <v>665</v>
      </c>
      <c r="AU39" s="451"/>
      <c r="AV39" s="453"/>
      <c r="AW39" s="441"/>
      <c r="AX39" s="441"/>
      <c r="AY39" s="438"/>
      <c r="AZ39" s="443"/>
      <c r="BA39" s="445"/>
      <c r="BB39" s="438"/>
      <c r="BC39" s="438"/>
      <c r="BD39" s="438"/>
      <c r="BE39" s="438"/>
      <c r="BF39" s="438"/>
      <c r="BG39" s="438"/>
      <c r="BH39" s="440"/>
    </row>
    <row r="40" spans="1:60" x14ac:dyDescent="0.25">
      <c r="A40" s="446">
        <v>21</v>
      </c>
      <c r="B40" s="446"/>
      <c r="C40" s="448" t="s">
        <v>681</v>
      </c>
      <c r="D40" s="446"/>
      <c r="E40" s="446"/>
      <c r="F40" s="446"/>
      <c r="G40" s="307" t="s">
        <v>661</v>
      </c>
      <c r="N40" s="308">
        <v>8</v>
      </c>
      <c r="O40" s="308">
        <v>8</v>
      </c>
      <c r="Q40" s="308">
        <v>8</v>
      </c>
      <c r="R40" t="s">
        <v>664</v>
      </c>
      <c r="S40" s="308">
        <v>8</v>
      </c>
      <c r="AU40" s="450">
        <f t="shared" ref="AU40" si="109">SUM(H40:AT40)/8</f>
        <v>4</v>
      </c>
      <c r="AV40" s="452">
        <f t="shared" ref="AV40" si="110">(SUMIFS(K40:AT40,$K$5:$AT$5,"&lt;&gt;"&amp;"CN",K40:AT40,"&gt;"&amp;9))-((COUNTIFS($K$5:$AT$5,"&lt;&gt;"&amp;"CN",K40:AT40,"&gt;"&amp;9))*9.5)</f>
        <v>0</v>
      </c>
      <c r="AW40" s="438">
        <f t="shared" ref="AW40" si="111">SUM(H41:AT41)</f>
        <v>0</v>
      </c>
      <c r="AX40" s="438">
        <f>(SUMIFS(K41:AT41,$K$5:$AT$5,"&lt;&gt;"&amp;"CN",K41:AT41,"&gt;"&amp;9))-((COUNTIFS($K$5:$AT$5,"&lt;&gt;"&amp;"CN",K41:AT41,"&gt;"&amp;9))*9.5)</f>
        <v>0</v>
      </c>
      <c r="AY40" s="437">
        <f>(COUNTIFS($K$5:$AT$5,"CN",K40:AT40,"&gt;="&amp;9))+(SUMIFS(K40:AT40,$K$5:$AT$5,"CN",K40:AT40,"&lt;="&amp;8)/8)</f>
        <v>0</v>
      </c>
      <c r="AZ40" s="442">
        <f>(COUNTIFS($K$5:$AT$5,"CN",K41:AT41,"&gt;="&amp;9))+(SUMIFS(K41:AT41,$K$5:$AT$5,"CN",K41:AT41,"&lt;="&amp;8)/8)</f>
        <v>0</v>
      </c>
      <c r="BA40" s="444">
        <f t="shared" ref="BA40" si="112">AU40*230000</f>
        <v>920000</v>
      </c>
      <c r="BB40" s="437">
        <f t="shared" ref="BB40" si="113">AW40*32000</f>
        <v>0</v>
      </c>
      <c r="BC40" s="437"/>
      <c r="BD40" s="437"/>
      <c r="BE40" s="437">
        <f t="shared" ref="BE40" si="114">AY40*450000</f>
        <v>0</v>
      </c>
      <c r="BF40" s="437"/>
      <c r="BG40" s="437"/>
      <c r="BH40" s="439">
        <f t="shared" ref="BH40" si="115">BA40+BB40+BE40</f>
        <v>920000</v>
      </c>
    </row>
    <row r="41" spans="1:60" s="311" customFormat="1" x14ac:dyDescent="0.25">
      <c r="A41" s="447"/>
      <c r="B41" s="447"/>
      <c r="C41" s="449"/>
      <c r="D41" s="447"/>
      <c r="E41" s="447"/>
      <c r="F41" s="447"/>
      <c r="G41" s="310" t="s">
        <v>665</v>
      </c>
      <c r="AU41" s="451"/>
      <c r="AV41" s="453"/>
      <c r="AW41" s="441"/>
      <c r="AX41" s="441"/>
      <c r="AY41" s="438"/>
      <c r="AZ41" s="443"/>
      <c r="BA41" s="445"/>
      <c r="BB41" s="438"/>
      <c r="BC41" s="438"/>
      <c r="BD41" s="438"/>
      <c r="BE41" s="438"/>
      <c r="BF41" s="438"/>
      <c r="BG41" s="438"/>
      <c r="BH41" s="440"/>
    </row>
    <row r="42" spans="1:60" x14ac:dyDescent="0.25">
      <c r="A42" s="446">
        <v>22</v>
      </c>
      <c r="B42" s="446"/>
      <c r="C42" s="448" t="s">
        <v>682</v>
      </c>
      <c r="D42" s="446"/>
      <c r="E42" s="446"/>
      <c r="F42" s="446"/>
      <c r="G42" s="307" t="s">
        <v>661</v>
      </c>
      <c r="N42" s="308">
        <v>8</v>
      </c>
      <c r="O42" s="308">
        <v>8</v>
      </c>
      <c r="AU42" s="450">
        <f t="shared" ref="AU42" si="116">SUM(H42:AT42)/8</f>
        <v>2</v>
      </c>
      <c r="AV42" s="452">
        <f t="shared" ref="AV42" si="117">(SUMIFS(K42:AT42,$K$5:$AT$5,"&lt;&gt;"&amp;"CN",K42:AT42,"&gt;"&amp;9))-((COUNTIFS($K$5:$AT$5,"&lt;&gt;"&amp;"CN",K42:AT42,"&gt;"&amp;9))*9.5)</f>
        <v>0</v>
      </c>
      <c r="AW42" s="438">
        <f t="shared" ref="AW42" si="118">SUM(H43:AT43)</f>
        <v>0</v>
      </c>
      <c r="AX42" s="438">
        <f>(SUMIFS(K43:AT43,$K$5:$AT$5,"&lt;&gt;"&amp;"CN",K43:AT43,"&gt;"&amp;9))-((COUNTIFS($K$5:$AT$5,"&lt;&gt;"&amp;"CN",K43:AT43,"&gt;"&amp;9))*9.5)</f>
        <v>0</v>
      </c>
      <c r="AY42" s="437">
        <f>(COUNTIFS($K$5:$AT$5,"CN",K42:AT42,"&gt;="&amp;9))+(SUMIFS(K42:AT42,$K$5:$AT$5,"CN",K42:AT42,"&lt;="&amp;8)/8)</f>
        <v>0</v>
      </c>
      <c r="AZ42" s="442">
        <f>(COUNTIFS($K$5:$AT$5,"CN",K43:AT43,"&gt;="&amp;9))+(SUMIFS(K43:AT43,$K$5:$AT$5,"CN",K43:AT43,"&lt;="&amp;8)/8)</f>
        <v>0</v>
      </c>
      <c r="BA42" s="444">
        <f t="shared" ref="BA42" si="119">AU42*230000</f>
        <v>460000</v>
      </c>
      <c r="BB42" s="437">
        <f t="shared" ref="BB42" si="120">AW42*32000</f>
        <v>0</v>
      </c>
      <c r="BC42" s="437"/>
      <c r="BD42" s="437"/>
      <c r="BE42" s="437">
        <f t="shared" ref="BE42" si="121">AY42*450000</f>
        <v>0</v>
      </c>
      <c r="BF42" s="437"/>
      <c r="BG42" s="437"/>
      <c r="BH42" s="439">
        <f t="shared" ref="BH42" si="122">BA42+BB42+BE42</f>
        <v>460000</v>
      </c>
    </row>
    <row r="43" spans="1:60" s="311" customFormat="1" x14ac:dyDescent="0.25">
      <c r="A43" s="447"/>
      <c r="B43" s="447"/>
      <c r="C43" s="449"/>
      <c r="D43" s="447"/>
      <c r="E43" s="447"/>
      <c r="F43" s="447"/>
      <c r="G43" s="310" t="s">
        <v>665</v>
      </c>
      <c r="AU43" s="451"/>
      <c r="AV43" s="453"/>
      <c r="AW43" s="441"/>
      <c r="AX43" s="441"/>
      <c r="AY43" s="438"/>
      <c r="AZ43" s="443"/>
      <c r="BA43" s="445"/>
      <c r="BB43" s="438"/>
      <c r="BC43" s="438"/>
      <c r="BD43" s="438"/>
      <c r="BE43" s="438"/>
      <c r="BF43" s="438"/>
      <c r="BG43" s="438"/>
      <c r="BH43" s="440"/>
    </row>
    <row r="44" spans="1:60" x14ac:dyDescent="0.25">
      <c r="A44" s="446">
        <v>23</v>
      </c>
      <c r="B44" s="446"/>
      <c r="C44" s="448" t="s">
        <v>683</v>
      </c>
      <c r="D44" s="446"/>
      <c r="E44" s="446"/>
      <c r="F44" s="446"/>
      <c r="G44" s="307" t="s">
        <v>661</v>
      </c>
      <c r="K44">
        <v>8</v>
      </c>
      <c r="L44">
        <v>8</v>
      </c>
      <c r="M44">
        <v>8</v>
      </c>
      <c r="N44" s="308">
        <v>8</v>
      </c>
      <c r="O44" s="308">
        <v>8</v>
      </c>
      <c r="Q44">
        <v>8</v>
      </c>
      <c r="AU44" s="450">
        <f t="shared" ref="AU44" si="123">SUM(H44:AT44)/8</f>
        <v>6</v>
      </c>
      <c r="AV44" s="452">
        <f t="shared" ref="AV44" si="124">(SUMIFS(K44:AT44,$K$5:$AT$5,"&lt;&gt;"&amp;"CN",K44:AT44,"&gt;"&amp;9))-((COUNTIFS($K$5:$AT$5,"&lt;&gt;"&amp;"CN",K44:AT44,"&gt;"&amp;9))*9.5)</f>
        <v>0</v>
      </c>
      <c r="AW44" s="438">
        <f t="shared" ref="AW44" si="125">SUM(H45:AT45)</f>
        <v>0</v>
      </c>
      <c r="AX44" s="438">
        <f>(SUMIFS(K45:AT45,$K$5:$AT$5,"&lt;&gt;"&amp;"CN",K45:AT45,"&gt;"&amp;9))-((COUNTIFS($K$5:$AT$5,"&lt;&gt;"&amp;"CN",K45:AT45,"&gt;"&amp;9))*9.5)</f>
        <v>0</v>
      </c>
      <c r="AY44" s="437">
        <f>(COUNTIFS($K$5:$AT$5,"CN",K44:AT44,"&gt;="&amp;9))+(SUMIFS(K44:AT44,$K$5:$AT$5,"CN",K44:AT44,"&lt;="&amp;8)/8)</f>
        <v>0</v>
      </c>
      <c r="AZ44" s="442">
        <f>(COUNTIFS($K$5:$AT$5,"CN",K45:AT45,"&gt;="&amp;9))+(SUMIFS(K45:AT45,$K$5:$AT$5,"CN",K45:AT45,"&lt;="&amp;8)/8)</f>
        <v>0</v>
      </c>
      <c r="BA44" s="444">
        <f t="shared" ref="BA44" si="126">AU44*230000</f>
        <v>1380000</v>
      </c>
      <c r="BB44" s="437">
        <f t="shared" ref="BB44" si="127">AW44*32000</f>
        <v>0</v>
      </c>
      <c r="BC44" s="437"/>
      <c r="BD44" s="437"/>
      <c r="BE44" s="437">
        <f t="shared" ref="BE44" si="128">AY44*450000</f>
        <v>0</v>
      </c>
      <c r="BF44" s="437"/>
      <c r="BG44" s="437"/>
      <c r="BH44" s="439">
        <f t="shared" ref="BH44" si="129">BA44+BB44+BE44</f>
        <v>1380000</v>
      </c>
    </row>
    <row r="45" spans="1:60" x14ac:dyDescent="0.25">
      <c r="A45" s="447"/>
      <c r="B45" s="447"/>
      <c r="C45" s="449"/>
      <c r="D45" s="447"/>
      <c r="E45" s="447"/>
      <c r="F45" s="447"/>
      <c r="G45" s="310" t="s">
        <v>665</v>
      </c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  <c r="AT45" s="311"/>
      <c r="AU45" s="451"/>
      <c r="AV45" s="453"/>
      <c r="AW45" s="441"/>
      <c r="AX45" s="441"/>
      <c r="AY45" s="438"/>
      <c r="AZ45" s="443"/>
      <c r="BA45" s="445"/>
      <c r="BB45" s="438"/>
      <c r="BC45" s="438"/>
      <c r="BD45" s="438"/>
      <c r="BE45" s="438"/>
      <c r="BF45" s="438"/>
      <c r="BG45" s="438"/>
      <c r="BH45" s="440"/>
    </row>
    <row r="46" spans="1:60" x14ac:dyDescent="0.25">
      <c r="A46" s="433" t="s">
        <v>659</v>
      </c>
      <c r="B46" s="433"/>
      <c r="C46" s="433"/>
      <c r="D46" s="433"/>
      <c r="E46" s="433"/>
      <c r="F46" s="433"/>
      <c r="G46" s="433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328"/>
      <c r="Z46" s="328"/>
      <c r="AA46" s="328"/>
      <c r="AB46" s="328"/>
      <c r="AC46" s="328"/>
      <c r="AD46" s="328"/>
      <c r="AE46" s="328"/>
      <c r="AF46" s="328"/>
      <c r="AG46" s="328"/>
      <c r="AH46" s="328"/>
      <c r="AI46" s="328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8"/>
      <c r="AU46" s="329">
        <f t="shared" ref="AU46:BH46" si="130">SUM(AU6:AU43)</f>
        <v>104.5</v>
      </c>
      <c r="AV46" s="329">
        <f t="shared" si="130"/>
        <v>0</v>
      </c>
      <c r="AW46" s="344">
        <f t="shared" si="130"/>
        <v>13.5</v>
      </c>
      <c r="AX46" s="344">
        <f t="shared" si="130"/>
        <v>0</v>
      </c>
      <c r="AY46" s="344">
        <f t="shared" si="130"/>
        <v>0</v>
      </c>
      <c r="AZ46" s="344">
        <f t="shared" si="130"/>
        <v>0</v>
      </c>
      <c r="BA46" s="344">
        <f t="shared" si="130"/>
        <v>23345000</v>
      </c>
      <c r="BB46" s="344">
        <f t="shared" si="130"/>
        <v>432000</v>
      </c>
      <c r="BC46" s="344">
        <f t="shared" si="130"/>
        <v>0</v>
      </c>
      <c r="BD46" s="344">
        <f t="shared" si="130"/>
        <v>0</v>
      </c>
      <c r="BE46" s="344">
        <f t="shared" si="130"/>
        <v>0</v>
      </c>
      <c r="BF46" s="344">
        <f t="shared" si="130"/>
        <v>0</v>
      </c>
      <c r="BG46" s="344">
        <f t="shared" si="130"/>
        <v>0</v>
      </c>
      <c r="BH46" s="344">
        <f t="shared" si="130"/>
        <v>23777000</v>
      </c>
    </row>
    <row r="47" spans="1:60" x14ac:dyDescent="0.25">
      <c r="A47" s="434" t="s">
        <v>684</v>
      </c>
      <c r="B47" s="434"/>
      <c r="C47" s="434"/>
      <c r="D47" s="434"/>
      <c r="E47" s="434"/>
      <c r="F47" s="434"/>
      <c r="G47" s="434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45"/>
      <c r="AX47" s="345"/>
      <c r="AY47" s="345"/>
      <c r="AZ47" s="345"/>
      <c r="BA47" s="346"/>
      <c r="BB47" s="345"/>
      <c r="BC47" s="345"/>
      <c r="BD47" s="345"/>
      <c r="BE47" s="345"/>
      <c r="BF47" s="345"/>
      <c r="BG47" s="345"/>
      <c r="BH47" s="345">
        <f>BH46*8%</f>
        <v>1902160</v>
      </c>
    </row>
    <row r="48" spans="1:60" x14ac:dyDescent="0.25">
      <c r="A48" s="435" t="s">
        <v>685</v>
      </c>
      <c r="B48" s="435"/>
      <c r="C48" s="435"/>
      <c r="D48" s="435"/>
      <c r="E48" s="435"/>
      <c r="F48" s="435"/>
      <c r="G48" s="435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331"/>
      <c r="AL48" s="331"/>
      <c r="AM48" s="331"/>
      <c r="AN48" s="331"/>
      <c r="AO48" s="331"/>
      <c r="AP48" s="331"/>
      <c r="AQ48" s="331"/>
      <c r="AR48" s="331"/>
      <c r="AS48" s="331"/>
      <c r="AT48" s="331"/>
      <c r="AU48" s="331"/>
      <c r="AV48" s="331"/>
      <c r="AW48" s="347"/>
      <c r="AX48" s="347"/>
      <c r="AY48" s="347"/>
      <c r="AZ48" s="347"/>
      <c r="BA48" s="348"/>
      <c r="BB48" s="347"/>
      <c r="BC48" s="347"/>
      <c r="BD48" s="347"/>
      <c r="BE48" s="347"/>
      <c r="BF48" s="347"/>
      <c r="BG48" s="347"/>
      <c r="BH48" s="347">
        <f>SUM(BH46:BH47)</f>
        <v>25679160</v>
      </c>
    </row>
    <row r="49" spans="1:7" x14ac:dyDescent="0.25">
      <c r="A49" s="436"/>
      <c r="B49" s="436"/>
      <c r="C49" s="436"/>
      <c r="D49" s="436"/>
      <c r="E49" s="436"/>
      <c r="F49" s="436"/>
      <c r="G49" s="436"/>
    </row>
    <row r="50" spans="1:7" x14ac:dyDescent="0.25">
      <c r="C50" s="332"/>
    </row>
  </sheetData>
  <mergeCells count="418">
    <mergeCell ref="A1:G1"/>
    <mergeCell ref="A2:G2"/>
    <mergeCell ref="H2:AI2"/>
    <mergeCell ref="A3:G3"/>
    <mergeCell ref="H3:AI3"/>
    <mergeCell ref="A4:A5"/>
    <mergeCell ref="B4:B5"/>
    <mergeCell ref="C4:C5"/>
    <mergeCell ref="D4:D5"/>
    <mergeCell ref="E4:E5"/>
    <mergeCell ref="F4:F5"/>
    <mergeCell ref="G4:G5"/>
    <mergeCell ref="AU4:AZ4"/>
    <mergeCell ref="BA4:BH4"/>
    <mergeCell ref="A6:A7"/>
    <mergeCell ref="B6:B7"/>
    <mergeCell ref="C6:C7"/>
    <mergeCell ref="D6:D7"/>
    <mergeCell ref="E6:E7"/>
    <mergeCell ref="F6:F7"/>
    <mergeCell ref="BG6:BG7"/>
    <mergeCell ref="BH6:BH7"/>
    <mergeCell ref="A8:A9"/>
    <mergeCell ref="B8:B9"/>
    <mergeCell ref="C8:C9"/>
    <mergeCell ref="D8:D9"/>
    <mergeCell ref="E8:E9"/>
    <mergeCell ref="F8:F9"/>
    <mergeCell ref="AU8:AU9"/>
    <mergeCell ref="AV8:AV9"/>
    <mergeCell ref="BA6:BA7"/>
    <mergeCell ref="BB6:BB7"/>
    <mergeCell ref="BC6:BC7"/>
    <mergeCell ref="BD6:BD7"/>
    <mergeCell ref="BE6:BE7"/>
    <mergeCell ref="BF6:BF7"/>
    <mergeCell ref="AU6:AU7"/>
    <mergeCell ref="AV6:AV7"/>
    <mergeCell ref="AW6:AW7"/>
    <mergeCell ref="AX6:AX7"/>
    <mergeCell ref="AY6:AY7"/>
    <mergeCell ref="AZ6:AZ7"/>
    <mergeCell ref="BC8:BC9"/>
    <mergeCell ref="BD8:BD9"/>
    <mergeCell ref="BE8:BE9"/>
    <mergeCell ref="BF8:BF9"/>
    <mergeCell ref="BG8:BG9"/>
    <mergeCell ref="BH8:BH9"/>
    <mergeCell ref="AW8:AW9"/>
    <mergeCell ref="AX8:AX9"/>
    <mergeCell ref="AY8:AY9"/>
    <mergeCell ref="AZ8:AZ9"/>
    <mergeCell ref="BA8:BA9"/>
    <mergeCell ref="BB8:BB9"/>
    <mergeCell ref="A12:A13"/>
    <mergeCell ref="B12:B13"/>
    <mergeCell ref="C12:C13"/>
    <mergeCell ref="D12:D13"/>
    <mergeCell ref="E12:E13"/>
    <mergeCell ref="F12:F13"/>
    <mergeCell ref="AU12:AU13"/>
    <mergeCell ref="AV12:AV13"/>
    <mergeCell ref="BA10:BA11"/>
    <mergeCell ref="AU10:AU11"/>
    <mergeCell ref="AV10:AV11"/>
    <mergeCell ref="AW10:AW11"/>
    <mergeCell ref="AX10:AX11"/>
    <mergeCell ref="AY10:AY11"/>
    <mergeCell ref="AZ10:AZ11"/>
    <mergeCell ref="A10:A11"/>
    <mergeCell ref="B10:B11"/>
    <mergeCell ref="C10:C11"/>
    <mergeCell ref="D10:D11"/>
    <mergeCell ref="E10:E11"/>
    <mergeCell ref="F10:F11"/>
    <mergeCell ref="BH12:BH13"/>
    <mergeCell ref="AW12:AW13"/>
    <mergeCell ref="AX12:AX13"/>
    <mergeCell ref="AY12:AY13"/>
    <mergeCell ref="AZ12:AZ13"/>
    <mergeCell ref="BA12:BA13"/>
    <mergeCell ref="BB12:BB13"/>
    <mergeCell ref="BG10:BG11"/>
    <mergeCell ref="BH10:BH11"/>
    <mergeCell ref="BB10:BB11"/>
    <mergeCell ref="BC10:BC11"/>
    <mergeCell ref="BD10:BD11"/>
    <mergeCell ref="BE10:BE11"/>
    <mergeCell ref="BF10:BF11"/>
    <mergeCell ref="C14:C15"/>
    <mergeCell ref="D14:D15"/>
    <mergeCell ref="E14:E15"/>
    <mergeCell ref="F14:F15"/>
    <mergeCell ref="BC12:BC13"/>
    <mergeCell ref="BD12:BD13"/>
    <mergeCell ref="BE12:BE13"/>
    <mergeCell ref="BF12:BF13"/>
    <mergeCell ref="BG12:BG13"/>
    <mergeCell ref="BG14:BG15"/>
    <mergeCell ref="BH14:BH15"/>
    <mergeCell ref="A16:A17"/>
    <mergeCell ref="B16:B17"/>
    <mergeCell ref="C16:C17"/>
    <mergeCell ref="D16:D17"/>
    <mergeCell ref="E16:E17"/>
    <mergeCell ref="F16:F17"/>
    <mergeCell ref="AU16:AU17"/>
    <mergeCell ref="AV16:AV17"/>
    <mergeCell ref="BA14:BA15"/>
    <mergeCell ref="BB14:BB15"/>
    <mergeCell ref="BC14:BC15"/>
    <mergeCell ref="BD14:BD15"/>
    <mergeCell ref="BE14:BE15"/>
    <mergeCell ref="BF14:BF15"/>
    <mergeCell ref="AU14:AU15"/>
    <mergeCell ref="AV14:AV15"/>
    <mergeCell ref="AW14:AW15"/>
    <mergeCell ref="AX14:AX15"/>
    <mergeCell ref="AY14:AY15"/>
    <mergeCell ref="AZ14:AZ15"/>
    <mergeCell ref="A14:A15"/>
    <mergeCell ref="B14:B15"/>
    <mergeCell ref="BC16:BC17"/>
    <mergeCell ref="BD16:BD17"/>
    <mergeCell ref="BE16:BE17"/>
    <mergeCell ref="BF16:BF17"/>
    <mergeCell ref="BG16:BG17"/>
    <mergeCell ref="BH16:BH17"/>
    <mergeCell ref="AW16:AW17"/>
    <mergeCell ref="AX16:AX17"/>
    <mergeCell ref="AY16:AY17"/>
    <mergeCell ref="AZ16:AZ17"/>
    <mergeCell ref="BA16:BA17"/>
    <mergeCell ref="BB16:BB17"/>
    <mergeCell ref="A20:A21"/>
    <mergeCell ref="B20:B21"/>
    <mergeCell ref="C20:C21"/>
    <mergeCell ref="D20:D21"/>
    <mergeCell ref="E20:E21"/>
    <mergeCell ref="F20:F21"/>
    <mergeCell ref="AU20:AU21"/>
    <mergeCell ref="AV20:AV21"/>
    <mergeCell ref="BA18:BA19"/>
    <mergeCell ref="AU18:AU19"/>
    <mergeCell ref="AV18:AV19"/>
    <mergeCell ref="AW18:AW19"/>
    <mergeCell ref="AX18:AX19"/>
    <mergeCell ref="AY18:AY19"/>
    <mergeCell ref="AZ18:AZ19"/>
    <mergeCell ref="A18:A19"/>
    <mergeCell ref="B18:B19"/>
    <mergeCell ref="C18:C19"/>
    <mergeCell ref="D18:D19"/>
    <mergeCell ref="E18:E19"/>
    <mergeCell ref="F18:F19"/>
    <mergeCell ref="BH20:BH21"/>
    <mergeCell ref="AW20:AW21"/>
    <mergeCell ref="AX20:AX21"/>
    <mergeCell ref="AY20:AY21"/>
    <mergeCell ref="AZ20:AZ21"/>
    <mergeCell ref="BA20:BA21"/>
    <mergeCell ref="BB20:BB21"/>
    <mergeCell ref="BG18:BG19"/>
    <mergeCell ref="BH18:BH19"/>
    <mergeCell ref="BB18:BB19"/>
    <mergeCell ref="BC18:BC19"/>
    <mergeCell ref="BD18:BD19"/>
    <mergeCell ref="BE18:BE19"/>
    <mergeCell ref="BF18:BF19"/>
    <mergeCell ref="C22:C23"/>
    <mergeCell ref="D22:D23"/>
    <mergeCell ref="E22:E23"/>
    <mergeCell ref="F22:F23"/>
    <mergeCell ref="BC20:BC21"/>
    <mergeCell ref="BD20:BD21"/>
    <mergeCell ref="BE20:BE21"/>
    <mergeCell ref="BF20:BF21"/>
    <mergeCell ref="BG20:BG21"/>
    <mergeCell ref="BG22:BG23"/>
    <mergeCell ref="BH22:BH23"/>
    <mergeCell ref="A24:A25"/>
    <mergeCell ref="B24:B25"/>
    <mergeCell ref="C24:C25"/>
    <mergeCell ref="D24:D25"/>
    <mergeCell ref="E24:E25"/>
    <mergeCell ref="F24:F25"/>
    <mergeCell ref="AU24:AU25"/>
    <mergeCell ref="AV24:AV25"/>
    <mergeCell ref="BA22:BA23"/>
    <mergeCell ref="BB22:BB23"/>
    <mergeCell ref="BC22:BC23"/>
    <mergeCell ref="BD22:BD23"/>
    <mergeCell ref="BE22:BE23"/>
    <mergeCell ref="BF22:BF23"/>
    <mergeCell ref="AU22:AU23"/>
    <mergeCell ref="AV22:AV23"/>
    <mergeCell ref="AW22:AW23"/>
    <mergeCell ref="AX22:AX23"/>
    <mergeCell ref="AY22:AY23"/>
    <mergeCell ref="AZ22:AZ23"/>
    <mergeCell ref="A22:A23"/>
    <mergeCell ref="B22:B23"/>
    <mergeCell ref="BC24:BC25"/>
    <mergeCell ref="BD24:BD25"/>
    <mergeCell ref="BE24:BE25"/>
    <mergeCell ref="BF24:BF25"/>
    <mergeCell ref="BG24:BG25"/>
    <mergeCell ref="BH24:BH25"/>
    <mergeCell ref="AW24:AW25"/>
    <mergeCell ref="AX24:AX25"/>
    <mergeCell ref="AY24:AY25"/>
    <mergeCell ref="AZ24:AZ25"/>
    <mergeCell ref="BA24:BA25"/>
    <mergeCell ref="BB24:BB25"/>
    <mergeCell ref="A28:A29"/>
    <mergeCell ref="B28:B29"/>
    <mergeCell ref="C28:C29"/>
    <mergeCell ref="D28:D29"/>
    <mergeCell ref="E28:E29"/>
    <mergeCell ref="F28:F29"/>
    <mergeCell ref="AU28:AU29"/>
    <mergeCell ref="AV28:AV29"/>
    <mergeCell ref="BA26:BA27"/>
    <mergeCell ref="AU26:AU27"/>
    <mergeCell ref="AV26:AV27"/>
    <mergeCell ref="AW26:AW27"/>
    <mergeCell ref="AX26:AX27"/>
    <mergeCell ref="AY26:AY27"/>
    <mergeCell ref="AZ26:AZ27"/>
    <mergeCell ref="A26:A27"/>
    <mergeCell ref="B26:B27"/>
    <mergeCell ref="C26:C27"/>
    <mergeCell ref="D26:D27"/>
    <mergeCell ref="E26:E27"/>
    <mergeCell ref="F26:F27"/>
    <mergeCell ref="BH28:BH29"/>
    <mergeCell ref="AW28:AW29"/>
    <mergeCell ref="AX28:AX29"/>
    <mergeCell ref="AY28:AY29"/>
    <mergeCell ref="AZ28:AZ29"/>
    <mergeCell ref="BA28:BA29"/>
    <mergeCell ref="BB28:BB29"/>
    <mergeCell ref="BG26:BG27"/>
    <mergeCell ref="BH26:BH27"/>
    <mergeCell ref="BB26:BB27"/>
    <mergeCell ref="BC26:BC27"/>
    <mergeCell ref="BD26:BD27"/>
    <mergeCell ref="BE26:BE27"/>
    <mergeCell ref="BF26:BF27"/>
    <mergeCell ref="C30:C31"/>
    <mergeCell ref="D30:D31"/>
    <mergeCell ref="E30:E31"/>
    <mergeCell ref="F30:F31"/>
    <mergeCell ref="BC28:BC29"/>
    <mergeCell ref="BD28:BD29"/>
    <mergeCell ref="BE28:BE29"/>
    <mergeCell ref="BF28:BF29"/>
    <mergeCell ref="BG28:BG29"/>
    <mergeCell ref="BG30:BG31"/>
    <mergeCell ref="BH30:BH31"/>
    <mergeCell ref="A32:A33"/>
    <mergeCell ref="B32:B33"/>
    <mergeCell ref="C32:C33"/>
    <mergeCell ref="D32:D33"/>
    <mergeCell ref="E32:E33"/>
    <mergeCell ref="F32:F33"/>
    <mergeCell ref="AU32:AU33"/>
    <mergeCell ref="AV32:AV33"/>
    <mergeCell ref="BA30:BA31"/>
    <mergeCell ref="BB30:BB31"/>
    <mergeCell ref="BC30:BC31"/>
    <mergeCell ref="BD30:BD31"/>
    <mergeCell ref="BE30:BE31"/>
    <mergeCell ref="BF30:BF31"/>
    <mergeCell ref="AU30:AU31"/>
    <mergeCell ref="AV30:AV31"/>
    <mergeCell ref="AW30:AW31"/>
    <mergeCell ref="AX30:AX31"/>
    <mergeCell ref="AY30:AY31"/>
    <mergeCell ref="AZ30:AZ31"/>
    <mergeCell ref="A30:A31"/>
    <mergeCell ref="B30:B31"/>
    <mergeCell ref="BC32:BC33"/>
    <mergeCell ref="BD32:BD33"/>
    <mergeCell ref="BE32:BE33"/>
    <mergeCell ref="BF32:BF33"/>
    <mergeCell ref="BG32:BG33"/>
    <mergeCell ref="BH32:BH33"/>
    <mergeCell ref="AW32:AW33"/>
    <mergeCell ref="AX32:AX33"/>
    <mergeCell ref="AY32:AY33"/>
    <mergeCell ref="AZ32:AZ33"/>
    <mergeCell ref="BA32:BA33"/>
    <mergeCell ref="BB32:BB33"/>
    <mergeCell ref="A36:A37"/>
    <mergeCell ref="B36:B37"/>
    <mergeCell ref="C36:C37"/>
    <mergeCell ref="D36:D37"/>
    <mergeCell ref="E36:E37"/>
    <mergeCell ref="F36:F37"/>
    <mergeCell ref="AU36:AU37"/>
    <mergeCell ref="AV36:AV37"/>
    <mergeCell ref="BA34:BA35"/>
    <mergeCell ref="AU34:AU35"/>
    <mergeCell ref="AV34:AV35"/>
    <mergeCell ref="AW34:AW35"/>
    <mergeCell ref="AX34:AX35"/>
    <mergeCell ref="AY34:AY35"/>
    <mergeCell ref="AZ34:AZ35"/>
    <mergeCell ref="A34:A35"/>
    <mergeCell ref="B34:B35"/>
    <mergeCell ref="C34:C35"/>
    <mergeCell ref="D34:D35"/>
    <mergeCell ref="E34:E35"/>
    <mergeCell ref="F34:F35"/>
    <mergeCell ref="BH36:BH37"/>
    <mergeCell ref="AW36:AW37"/>
    <mergeCell ref="AX36:AX37"/>
    <mergeCell ref="AY36:AY37"/>
    <mergeCell ref="AZ36:AZ37"/>
    <mergeCell ref="BA36:BA37"/>
    <mergeCell ref="BB36:BB37"/>
    <mergeCell ref="BG34:BG35"/>
    <mergeCell ref="BH34:BH35"/>
    <mergeCell ref="BB34:BB35"/>
    <mergeCell ref="BC34:BC35"/>
    <mergeCell ref="BD34:BD35"/>
    <mergeCell ref="BE34:BE35"/>
    <mergeCell ref="BF34:BF35"/>
    <mergeCell ref="C38:C39"/>
    <mergeCell ref="D38:D39"/>
    <mergeCell ref="E38:E39"/>
    <mergeCell ref="F38:F39"/>
    <mergeCell ref="BC36:BC37"/>
    <mergeCell ref="BD36:BD37"/>
    <mergeCell ref="BE36:BE37"/>
    <mergeCell ref="BF36:BF37"/>
    <mergeCell ref="BG36:BG37"/>
    <mergeCell ref="BG38:BG39"/>
    <mergeCell ref="BH38:BH39"/>
    <mergeCell ref="A40:A41"/>
    <mergeCell ref="B40:B41"/>
    <mergeCell ref="C40:C41"/>
    <mergeCell ref="D40:D41"/>
    <mergeCell ref="E40:E41"/>
    <mergeCell ref="F40:F41"/>
    <mergeCell ref="AU40:AU41"/>
    <mergeCell ref="AV40:AV41"/>
    <mergeCell ref="BA38:BA39"/>
    <mergeCell ref="BB38:BB39"/>
    <mergeCell ref="BC38:BC39"/>
    <mergeCell ref="BD38:BD39"/>
    <mergeCell ref="BE38:BE39"/>
    <mergeCell ref="BF38:BF39"/>
    <mergeCell ref="AU38:AU39"/>
    <mergeCell ref="AV38:AV39"/>
    <mergeCell ref="AW38:AW39"/>
    <mergeCell ref="AX38:AX39"/>
    <mergeCell ref="AY38:AY39"/>
    <mergeCell ref="AZ38:AZ39"/>
    <mergeCell ref="A38:A39"/>
    <mergeCell ref="B38:B39"/>
    <mergeCell ref="BC40:BC41"/>
    <mergeCell ref="BD40:BD41"/>
    <mergeCell ref="BE40:BE41"/>
    <mergeCell ref="BF40:BF41"/>
    <mergeCell ref="BG40:BG41"/>
    <mergeCell ref="BH40:BH41"/>
    <mergeCell ref="AW40:AW41"/>
    <mergeCell ref="AX40:AX41"/>
    <mergeCell ref="AY40:AY41"/>
    <mergeCell ref="AZ40:AZ41"/>
    <mergeCell ref="BA40:BA41"/>
    <mergeCell ref="BB40:BB41"/>
    <mergeCell ref="AU42:AU43"/>
    <mergeCell ref="AV42:AV43"/>
    <mergeCell ref="AW42:AW43"/>
    <mergeCell ref="AX42:AX43"/>
    <mergeCell ref="AY42:AY43"/>
    <mergeCell ref="AZ42:AZ43"/>
    <mergeCell ref="A42:A43"/>
    <mergeCell ref="B42:B43"/>
    <mergeCell ref="C42:C43"/>
    <mergeCell ref="D42:D43"/>
    <mergeCell ref="E42:E43"/>
    <mergeCell ref="F42:F43"/>
    <mergeCell ref="BH44:BH45"/>
    <mergeCell ref="AW44:AW45"/>
    <mergeCell ref="AX44:AX45"/>
    <mergeCell ref="AY44:AY45"/>
    <mergeCell ref="AZ44:AZ45"/>
    <mergeCell ref="BA44:BA45"/>
    <mergeCell ref="BB44:BB45"/>
    <mergeCell ref="BG42:BG43"/>
    <mergeCell ref="BH42:BH43"/>
    <mergeCell ref="BA42:BA43"/>
    <mergeCell ref="BB42:BB43"/>
    <mergeCell ref="BC42:BC43"/>
    <mergeCell ref="BD42:BD43"/>
    <mergeCell ref="BE42:BE43"/>
    <mergeCell ref="BF42:BF43"/>
    <mergeCell ref="A46:G46"/>
    <mergeCell ref="A47:G47"/>
    <mergeCell ref="A48:G48"/>
    <mergeCell ref="A49:G49"/>
    <mergeCell ref="BC44:BC45"/>
    <mergeCell ref="BD44:BD45"/>
    <mergeCell ref="BE44:BE45"/>
    <mergeCell ref="BF44:BF45"/>
    <mergeCell ref="BG44:BG45"/>
    <mergeCell ref="A44:A45"/>
    <mergeCell ref="B44:B45"/>
    <mergeCell ref="C44:C45"/>
    <mergeCell ref="D44:D45"/>
    <mergeCell ref="E44:E45"/>
    <mergeCell ref="F44:F45"/>
    <mergeCell ref="AU44:AU45"/>
    <mergeCell ref="AV44:AV45"/>
  </mergeCells>
  <conditionalFormatting sqref="H4:AT45">
    <cfRule type="expression" dxfId="16" priority="1">
      <formula>H$5=$T$1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7C43-8B2A-4AB7-99E8-AE4BA402AC1C}">
  <sheetPr>
    <tabColor theme="5" tint="0.79998168889431442"/>
  </sheetPr>
  <dimension ref="A2:BB100"/>
  <sheetViews>
    <sheetView zoomScale="90" zoomScaleNormal="90" workbookViewId="0">
      <pane xSplit="3" ySplit="8" topLeftCell="AH73" activePane="bottomRight" state="frozen"/>
      <selection pane="topRight" activeCell="D1" sqref="D1"/>
      <selection pane="bottomLeft" activeCell="A9" sqref="A9"/>
      <selection pane="bottomRight" activeCell="AV69" sqref="AV69"/>
    </sheetView>
  </sheetViews>
  <sheetFormatPr defaultColWidth="9.140625" defaultRowHeight="15" x14ac:dyDescent="0.25"/>
  <cols>
    <col min="1" max="1" width="4.85546875" style="119" customWidth="1"/>
    <col min="2" max="2" width="9.140625" style="119"/>
    <col min="3" max="3" width="19.85546875" style="119" customWidth="1"/>
    <col min="4" max="4" width="7.140625" style="121" customWidth="1"/>
    <col min="5" max="5" width="15" style="121" bestFit="1" customWidth="1"/>
    <col min="6" max="6" width="12.7109375" style="129" bestFit="1" customWidth="1"/>
    <col min="7" max="7" width="12.5703125" style="129" customWidth="1"/>
    <col min="8" max="8" width="14.5703125" style="129" customWidth="1"/>
    <col min="9" max="9" width="11.5703125" style="129" customWidth="1"/>
    <col min="10" max="10" width="12.140625" style="129" customWidth="1"/>
    <col min="11" max="11" width="12.5703125" style="129" bestFit="1" customWidth="1"/>
    <col min="12" max="12" width="14.140625" style="129" bestFit="1" customWidth="1"/>
    <col min="13" max="13" width="9.42578125" style="130" bestFit="1" customWidth="1"/>
    <col min="14" max="14" width="9.7109375" style="130" bestFit="1" customWidth="1"/>
    <col min="15" max="22" width="9.42578125" style="130" bestFit="1" customWidth="1"/>
    <col min="23" max="23" width="13.7109375" style="129" customWidth="1"/>
    <col min="24" max="25" width="13.42578125" style="129" bestFit="1" customWidth="1"/>
    <col min="26" max="26" width="12.7109375" style="129" bestFit="1" customWidth="1"/>
    <col min="27" max="27" width="14" style="129" bestFit="1" customWidth="1"/>
    <col min="28" max="28" width="15" style="129" customWidth="1"/>
    <col min="29" max="29" width="12.85546875" style="129" customWidth="1"/>
    <col min="30" max="30" width="12.42578125" style="129" bestFit="1" customWidth="1"/>
    <col min="31" max="32" width="14.5703125" style="129" customWidth="1"/>
    <col min="33" max="33" width="15.85546875" style="129" customWidth="1"/>
    <col min="34" max="34" width="15" style="190" customWidth="1"/>
    <col min="35" max="37" width="8.42578125" style="129" customWidth="1"/>
    <col min="38" max="38" width="15.28515625" style="129" customWidth="1"/>
    <col min="39" max="39" width="13.42578125" style="129" customWidth="1"/>
    <col min="40" max="40" width="15.85546875" style="129" customWidth="1"/>
    <col min="41" max="41" width="14.85546875" style="129" customWidth="1"/>
    <col min="42" max="42" width="10.5703125" style="129" customWidth="1"/>
    <col min="43" max="43" width="12.7109375" style="129" bestFit="1" customWidth="1"/>
    <col min="44" max="44" width="9.140625" style="129"/>
    <col min="45" max="45" width="13.140625" style="129" customWidth="1"/>
    <col min="46" max="46" width="14.42578125" style="190" customWidth="1"/>
    <col min="47" max="47" width="15.7109375" style="198" bestFit="1" customWidth="1"/>
    <col min="48" max="48" width="14.7109375" style="119" bestFit="1" customWidth="1"/>
    <col min="49" max="49" width="12.140625" style="119" bestFit="1" customWidth="1"/>
    <col min="50" max="50" width="11.42578125" style="119" bestFit="1" customWidth="1"/>
    <col min="51" max="51" width="10.85546875" style="119" bestFit="1" customWidth="1"/>
    <col min="52" max="52" width="11.42578125" style="119" bestFit="1" customWidth="1"/>
    <col min="53" max="54" width="11.5703125" style="119" bestFit="1" customWidth="1"/>
    <col min="55" max="16384" width="9.140625" style="119"/>
  </cols>
  <sheetData>
    <row r="2" spans="1:54" ht="25.5" x14ac:dyDescent="0.2">
      <c r="A2" s="483" t="s">
        <v>533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AW2" s="275">
        <v>5000000</v>
      </c>
      <c r="AX2" s="275">
        <v>10000000</v>
      </c>
      <c r="AY2" s="275">
        <v>8000000</v>
      </c>
      <c r="AZ2" s="275">
        <v>18000000</v>
      </c>
      <c r="BA2" s="275">
        <v>32000000</v>
      </c>
      <c r="BB2" s="275">
        <v>52000000</v>
      </c>
    </row>
    <row r="3" spans="1:54" x14ac:dyDescent="0.2">
      <c r="W3" s="129">
        <f>X9*0.5</f>
        <v>882512.01923076925</v>
      </c>
      <c r="X3" s="129">
        <f>F9/D9/8*N9*0.5</f>
        <v>588341.34615384613</v>
      </c>
      <c r="AU3" s="198">
        <f>AU93+AU89+AU45+AU39+AU8</f>
        <v>554114652.24358964</v>
      </c>
      <c r="AW3" s="278">
        <v>0.05</v>
      </c>
      <c r="AX3" s="278">
        <v>0.1</v>
      </c>
      <c r="AY3" s="278">
        <v>0.15</v>
      </c>
      <c r="AZ3" s="278">
        <v>0.2</v>
      </c>
      <c r="BA3" s="278">
        <v>0.25</v>
      </c>
      <c r="BB3" s="278">
        <v>0.3</v>
      </c>
    </row>
    <row r="4" spans="1:54" s="201" customFormat="1" ht="15" customHeight="1" x14ac:dyDescent="0.25">
      <c r="A4" s="484" t="s">
        <v>15</v>
      </c>
      <c r="B4" s="484" t="s">
        <v>16</v>
      </c>
      <c r="C4" s="484" t="s">
        <v>17</v>
      </c>
      <c r="D4" s="484" t="s">
        <v>524</v>
      </c>
      <c r="E4" s="484" t="s">
        <v>528</v>
      </c>
      <c r="F4" s="485" t="s">
        <v>507</v>
      </c>
      <c r="G4" s="484" t="s">
        <v>523</v>
      </c>
      <c r="H4" s="484"/>
      <c r="I4" s="484"/>
      <c r="J4" s="484"/>
      <c r="K4" s="484"/>
      <c r="L4" s="484"/>
      <c r="M4" s="486" t="s">
        <v>508</v>
      </c>
      <c r="N4" s="486"/>
      <c r="O4" s="486"/>
      <c r="P4" s="486"/>
      <c r="Q4" s="486"/>
      <c r="R4" s="486"/>
      <c r="S4" s="486"/>
      <c r="T4" s="486"/>
      <c r="U4" s="486"/>
      <c r="V4" s="486"/>
      <c r="W4" s="482" t="s">
        <v>509</v>
      </c>
      <c r="X4" s="482"/>
      <c r="Y4" s="482"/>
      <c r="Z4" s="482"/>
      <c r="AA4" s="482" t="s">
        <v>532</v>
      </c>
      <c r="AB4" s="482"/>
      <c r="AC4" s="482"/>
      <c r="AD4" s="482"/>
      <c r="AE4" s="482"/>
      <c r="AF4" s="482"/>
      <c r="AG4" s="487" t="s">
        <v>602</v>
      </c>
      <c r="AH4" s="487" t="s">
        <v>510</v>
      </c>
      <c r="AI4" s="352" t="s">
        <v>597</v>
      </c>
      <c r="AJ4" s="352"/>
      <c r="AK4" s="349" t="s">
        <v>592</v>
      </c>
      <c r="AL4" s="349"/>
      <c r="AM4" s="349"/>
      <c r="AN4" s="350" t="s">
        <v>525</v>
      </c>
      <c r="AO4" s="350" t="s">
        <v>593</v>
      </c>
      <c r="AP4" s="350" t="s">
        <v>594</v>
      </c>
      <c r="AQ4" s="490" t="s">
        <v>511</v>
      </c>
      <c r="AR4" s="490"/>
      <c r="AS4" s="490"/>
      <c r="AT4" s="487" t="s">
        <v>603</v>
      </c>
      <c r="AU4" s="487" t="s">
        <v>512</v>
      </c>
    </row>
    <row r="5" spans="1:54" s="201" customFormat="1" ht="31.15" customHeight="1" x14ac:dyDescent="0.25">
      <c r="A5" s="484"/>
      <c r="B5" s="484"/>
      <c r="C5" s="484"/>
      <c r="D5" s="484"/>
      <c r="E5" s="484"/>
      <c r="F5" s="485"/>
      <c r="G5" s="485" t="s">
        <v>195</v>
      </c>
      <c r="H5" s="485" t="s">
        <v>194</v>
      </c>
      <c r="I5" s="485" t="s">
        <v>196</v>
      </c>
      <c r="J5" s="485" t="s">
        <v>522</v>
      </c>
      <c r="K5" s="485" t="s">
        <v>197</v>
      </c>
      <c r="L5" s="485" t="s">
        <v>198</v>
      </c>
      <c r="M5" s="488" t="s">
        <v>18</v>
      </c>
      <c r="N5" s="488"/>
      <c r="O5" s="488"/>
      <c r="P5" s="488"/>
      <c r="Q5" s="202" t="s">
        <v>12</v>
      </c>
      <c r="R5" s="489" t="s">
        <v>19</v>
      </c>
      <c r="S5" s="489"/>
      <c r="T5" s="489"/>
      <c r="U5" s="489"/>
      <c r="V5" s="489"/>
      <c r="W5" s="482" t="s">
        <v>514</v>
      </c>
      <c r="X5" s="482" t="s">
        <v>531</v>
      </c>
      <c r="Y5" s="482" t="s">
        <v>530</v>
      </c>
      <c r="Z5" s="482" t="s">
        <v>529</v>
      </c>
      <c r="AA5" s="482" t="s">
        <v>195</v>
      </c>
      <c r="AB5" s="482" t="s">
        <v>194</v>
      </c>
      <c r="AC5" s="482" t="s">
        <v>196</v>
      </c>
      <c r="AD5" s="482" t="s">
        <v>513</v>
      </c>
      <c r="AE5" s="482" t="s">
        <v>197</v>
      </c>
      <c r="AF5" s="482" t="s">
        <v>198</v>
      </c>
      <c r="AG5" s="487"/>
      <c r="AH5" s="487"/>
      <c r="AI5" s="351" t="s">
        <v>600</v>
      </c>
      <c r="AJ5" s="351" t="s">
        <v>601</v>
      </c>
      <c r="AK5" s="352" t="s">
        <v>598</v>
      </c>
      <c r="AL5" s="349" t="s">
        <v>595</v>
      </c>
      <c r="AM5" s="349" t="s">
        <v>596</v>
      </c>
      <c r="AN5" s="350"/>
      <c r="AO5" s="350"/>
      <c r="AP5" s="350"/>
      <c r="AQ5" s="482" t="s">
        <v>454</v>
      </c>
      <c r="AR5" s="482" t="s">
        <v>526</v>
      </c>
      <c r="AS5" s="482" t="s">
        <v>527</v>
      </c>
      <c r="AT5" s="487"/>
      <c r="AU5" s="487"/>
    </row>
    <row r="6" spans="1:54" s="201" customFormat="1" ht="25.5" x14ac:dyDescent="0.25">
      <c r="A6" s="484"/>
      <c r="B6" s="484"/>
      <c r="C6" s="484"/>
      <c r="D6" s="484"/>
      <c r="E6" s="484"/>
      <c r="F6" s="485"/>
      <c r="G6" s="485"/>
      <c r="H6" s="485"/>
      <c r="I6" s="485"/>
      <c r="J6" s="485"/>
      <c r="K6" s="485"/>
      <c r="L6" s="485"/>
      <c r="M6" s="192" t="s">
        <v>1</v>
      </c>
      <c r="N6" s="192" t="s">
        <v>5</v>
      </c>
      <c r="O6" s="192" t="s">
        <v>10</v>
      </c>
      <c r="P6" s="192" t="s">
        <v>454</v>
      </c>
      <c r="Q6" s="203" t="s">
        <v>1</v>
      </c>
      <c r="R6" s="203" t="s">
        <v>20</v>
      </c>
      <c r="S6" s="203" t="s">
        <v>578</v>
      </c>
      <c r="T6" s="203" t="s">
        <v>22</v>
      </c>
      <c r="U6" s="203" t="s">
        <v>23</v>
      </c>
      <c r="V6" s="203" t="s">
        <v>455</v>
      </c>
      <c r="W6" s="482"/>
      <c r="X6" s="482"/>
      <c r="Y6" s="482"/>
      <c r="Z6" s="482"/>
      <c r="AA6" s="482"/>
      <c r="AB6" s="482"/>
      <c r="AC6" s="482"/>
      <c r="AD6" s="482"/>
      <c r="AE6" s="482"/>
      <c r="AF6" s="482"/>
      <c r="AG6" s="487"/>
      <c r="AH6" s="487"/>
      <c r="AI6" s="351"/>
      <c r="AJ6" s="351"/>
      <c r="AK6" s="352"/>
      <c r="AL6" s="349"/>
      <c r="AM6" s="349"/>
      <c r="AN6" s="350"/>
      <c r="AO6" s="350"/>
      <c r="AP6" s="350"/>
      <c r="AQ6" s="482"/>
      <c r="AR6" s="482"/>
      <c r="AS6" s="482"/>
      <c r="AT6" s="487"/>
      <c r="AU6" s="487"/>
    </row>
    <row r="7" spans="1:54" s="121" customFormat="1" ht="17.45" customHeight="1" x14ac:dyDescent="0.25">
      <c r="A7" s="208"/>
      <c r="B7" s="208"/>
      <c r="C7" s="208">
        <v>1</v>
      </c>
      <c r="D7" s="208">
        <v>2</v>
      </c>
      <c r="E7" s="208">
        <v>3</v>
      </c>
      <c r="F7" s="208">
        <v>4</v>
      </c>
      <c r="G7" s="208">
        <v>5</v>
      </c>
      <c r="H7" s="208">
        <v>6</v>
      </c>
      <c r="I7" s="208">
        <v>7</v>
      </c>
      <c r="J7" s="208">
        <v>8</v>
      </c>
      <c r="K7" s="208">
        <v>9</v>
      </c>
      <c r="L7" s="208">
        <v>10</v>
      </c>
      <c r="M7" s="208">
        <v>11</v>
      </c>
      <c r="N7" s="208">
        <v>12</v>
      </c>
      <c r="O7" s="208">
        <v>13</v>
      </c>
      <c r="P7" s="208">
        <v>14</v>
      </c>
      <c r="Q7" s="208">
        <v>15</v>
      </c>
      <c r="R7" s="208">
        <v>16</v>
      </c>
      <c r="S7" s="208">
        <v>17</v>
      </c>
      <c r="T7" s="208">
        <v>18</v>
      </c>
      <c r="U7" s="208">
        <v>19</v>
      </c>
      <c r="V7" s="208">
        <v>20</v>
      </c>
      <c r="W7" s="208">
        <v>21</v>
      </c>
      <c r="X7" s="208">
        <v>22</v>
      </c>
      <c r="Y7" s="208">
        <v>23</v>
      </c>
      <c r="Z7" s="208">
        <v>24</v>
      </c>
      <c r="AA7" s="208">
        <v>25</v>
      </c>
      <c r="AB7" s="208">
        <v>26</v>
      </c>
      <c r="AC7" s="208">
        <v>27</v>
      </c>
      <c r="AD7" s="208">
        <v>28</v>
      </c>
      <c r="AE7" s="208">
        <v>29</v>
      </c>
      <c r="AF7" s="208">
        <v>30</v>
      </c>
      <c r="AG7" s="208">
        <v>31</v>
      </c>
      <c r="AH7" s="208">
        <v>32</v>
      </c>
      <c r="AI7" s="208">
        <v>33</v>
      </c>
      <c r="AJ7" s="208">
        <v>34</v>
      </c>
      <c r="AK7" s="208">
        <v>35</v>
      </c>
      <c r="AL7" s="208">
        <v>36</v>
      </c>
      <c r="AM7" s="208">
        <v>37</v>
      </c>
      <c r="AN7" s="208">
        <v>38</v>
      </c>
      <c r="AO7" s="208">
        <v>39</v>
      </c>
      <c r="AP7" s="208">
        <v>40</v>
      </c>
      <c r="AQ7" s="208">
        <v>41</v>
      </c>
      <c r="AR7" s="208">
        <v>42</v>
      </c>
      <c r="AS7" s="208">
        <v>43</v>
      </c>
      <c r="AT7" s="208">
        <v>44</v>
      </c>
      <c r="AU7" s="208">
        <v>45</v>
      </c>
    </row>
    <row r="8" spans="1:54" s="129" customFormat="1" ht="17.45" customHeight="1" x14ac:dyDescent="0.25">
      <c r="A8" s="492" t="s">
        <v>517</v>
      </c>
      <c r="B8" s="492"/>
      <c r="C8" s="492"/>
      <c r="D8" s="209"/>
      <c r="E8" s="209">
        <f>SUBTOTAL(9,E9:E38)</f>
        <v>180000000</v>
      </c>
      <c r="F8" s="209">
        <f t="shared" ref="F8:AU8" si="0">SUBTOTAL(9,F9:F38)</f>
        <v>133500000</v>
      </c>
      <c r="G8" s="209">
        <f t="shared" si="0"/>
        <v>15000000</v>
      </c>
      <c r="H8" s="209">
        <f t="shared" si="0"/>
        <v>7500000</v>
      </c>
      <c r="I8" s="209">
        <f t="shared" si="0"/>
        <v>1200000</v>
      </c>
      <c r="J8" s="209">
        <f t="shared" si="0"/>
        <v>0</v>
      </c>
      <c r="K8" s="209">
        <f t="shared" si="0"/>
        <v>6500000</v>
      </c>
      <c r="L8" s="209">
        <f t="shared" si="0"/>
        <v>16300000</v>
      </c>
      <c r="M8" s="209">
        <f t="shared" si="0"/>
        <v>571</v>
      </c>
      <c r="N8" s="209">
        <f t="shared" si="0"/>
        <v>1417.9</v>
      </c>
      <c r="O8" s="209">
        <f t="shared" si="0"/>
        <v>19.100000000000001</v>
      </c>
      <c r="P8" s="209">
        <f t="shared" si="0"/>
        <v>9.2333333333333343</v>
      </c>
      <c r="Q8" s="209">
        <f t="shared" si="0"/>
        <v>309.7</v>
      </c>
      <c r="R8" s="209">
        <f t="shared" si="0"/>
        <v>0</v>
      </c>
      <c r="S8" s="209">
        <f t="shared" si="0"/>
        <v>15</v>
      </c>
      <c r="T8" s="209">
        <f t="shared" si="0"/>
        <v>0</v>
      </c>
      <c r="U8" s="209">
        <f t="shared" si="0"/>
        <v>4</v>
      </c>
      <c r="V8" s="209">
        <f t="shared" si="0"/>
        <v>0</v>
      </c>
      <c r="W8" s="209">
        <f t="shared" si="0"/>
        <v>97728846.153846145</v>
      </c>
      <c r="X8" s="209">
        <f t="shared" si="0"/>
        <v>45502319.711538464</v>
      </c>
      <c r="Y8" s="209">
        <f t="shared" si="0"/>
        <v>735533.65384615387</v>
      </c>
      <c r="Z8" s="209">
        <f t="shared" si="0"/>
        <v>13251586.53846154</v>
      </c>
      <c r="AA8" s="209">
        <f t="shared" si="0"/>
        <v>10980769.230769232</v>
      </c>
      <c r="AB8" s="209">
        <f t="shared" si="0"/>
        <v>5490384.615384616</v>
      </c>
      <c r="AC8" s="209">
        <f t="shared" si="0"/>
        <v>1171153.8461538462</v>
      </c>
      <c r="AD8" s="209">
        <f t="shared" si="0"/>
        <v>0</v>
      </c>
      <c r="AE8" s="209">
        <f t="shared" si="0"/>
        <v>5926923.076923077</v>
      </c>
      <c r="AF8" s="209">
        <f t="shared" si="0"/>
        <v>13078846.153846156</v>
      </c>
      <c r="AG8" s="209">
        <f t="shared" si="0"/>
        <v>1693990.3846153847</v>
      </c>
      <c r="AH8" s="209">
        <f t="shared" si="0"/>
        <v>195560353.36538467</v>
      </c>
      <c r="AI8" s="209">
        <f t="shared" si="0"/>
        <v>0</v>
      </c>
      <c r="AJ8" s="209">
        <f t="shared" si="0"/>
        <v>0</v>
      </c>
      <c r="AK8" s="209">
        <f t="shared" si="0"/>
        <v>0</v>
      </c>
      <c r="AL8" s="209">
        <f t="shared" si="0"/>
        <v>330000000</v>
      </c>
      <c r="AM8" s="209">
        <f t="shared" si="0"/>
        <v>0</v>
      </c>
      <c r="AN8" s="209">
        <f t="shared" si="0"/>
        <v>352120137.01923072</v>
      </c>
      <c r="AO8" s="209"/>
      <c r="AP8" s="209">
        <f t="shared" si="0"/>
        <v>0</v>
      </c>
      <c r="AQ8" s="209">
        <f t="shared" si="0"/>
        <v>197540.06410256412</v>
      </c>
      <c r="AR8" s="209">
        <f t="shared" si="0"/>
        <v>0</v>
      </c>
      <c r="AS8" s="209">
        <f t="shared" si="0"/>
        <v>1050000</v>
      </c>
      <c r="AT8" s="209">
        <f t="shared" si="0"/>
        <v>1247540.0641025642</v>
      </c>
      <c r="AU8" s="209">
        <f t="shared" si="0"/>
        <v>194312813.30128211</v>
      </c>
    </row>
    <row r="9" spans="1:54" ht="17.45" customHeight="1" x14ac:dyDescent="0.25">
      <c r="A9" s="199">
        <v>1</v>
      </c>
      <c r="B9" s="72" t="s">
        <v>34</v>
      </c>
      <c r="C9" s="73" t="s">
        <v>35</v>
      </c>
      <c r="D9" s="72">
        <v>26</v>
      </c>
      <c r="E9" s="131">
        <f>SUM(F9:L9)</f>
        <v>5500000</v>
      </c>
      <c r="F9" s="126">
        <v>4450000</v>
      </c>
      <c r="G9" s="126">
        <v>500000</v>
      </c>
      <c r="H9" s="126">
        <v>250000</v>
      </c>
      <c r="I9" s="126"/>
      <c r="J9" s="126"/>
      <c r="K9" s="126">
        <v>300000</v>
      </c>
      <c r="L9" s="126"/>
      <c r="M9" s="127">
        <f>'BẢNG CHẤM CÔNG T3'!D9</f>
        <v>18</v>
      </c>
      <c r="N9" s="127">
        <f>'BẢNG CHẤM CÔNG T3'!E9</f>
        <v>55</v>
      </c>
      <c r="O9" s="127">
        <f>'BẢNG CHẤM CÔNG T3'!F9</f>
        <v>2.2999999999999998</v>
      </c>
      <c r="P9" s="127">
        <f>'BẢNG CHẤM CÔNG T3'!G9</f>
        <v>0</v>
      </c>
      <c r="Q9" s="127">
        <f>'BẢNG CHẤM CÔNG T3'!H9</f>
        <v>10</v>
      </c>
      <c r="R9" s="127">
        <f>'BẢNG CHẤM CÔNG T3'!I9</f>
        <v>0</v>
      </c>
      <c r="S9" s="127">
        <f>'BẢNG CHẤM CÔNG T3'!J9</f>
        <v>0</v>
      </c>
      <c r="T9" s="127">
        <f>'BẢNG CHẤM CÔNG T3'!K9</f>
        <v>0</v>
      </c>
      <c r="U9" s="127">
        <f>'BẢNG CHẤM CÔNG T3'!L9</f>
        <v>1</v>
      </c>
      <c r="V9" s="127">
        <f>'BẢNG CHẤM CÔNG T3'!M9</f>
        <v>0</v>
      </c>
      <c r="W9" s="132">
        <f>F9/D9*(M9+V9)</f>
        <v>3080769.230769231</v>
      </c>
      <c r="X9" s="132">
        <f>F9/D9/8*N9*1.5</f>
        <v>1765024.0384615385</v>
      </c>
      <c r="Y9" s="132">
        <f>F9/D9/8*O9*1.8</f>
        <v>88572.115384615376</v>
      </c>
      <c r="Z9" s="132">
        <f>F9/D9/8*Q9*2</f>
        <v>427884.61538461538</v>
      </c>
      <c r="AA9" s="132">
        <f>G9/D9*M9</f>
        <v>346153.84615384613</v>
      </c>
      <c r="AB9" s="132">
        <f>H9/D9*M9</f>
        <v>173076.92307692306</v>
      </c>
      <c r="AC9" s="132">
        <f>I9/D9*M9</f>
        <v>0</v>
      </c>
      <c r="AD9" s="132">
        <f>J9/D9*M9</f>
        <v>0</v>
      </c>
      <c r="AE9" s="132">
        <f>K9/D9*M9</f>
        <v>207692.30769230769</v>
      </c>
      <c r="AF9" s="132">
        <f>L9/D9*M9</f>
        <v>0</v>
      </c>
      <c r="AG9" s="132"/>
      <c r="AH9" s="197">
        <f>SUM(W9:AG9)</f>
        <v>6089173.076923077</v>
      </c>
      <c r="AI9" s="132"/>
      <c r="AJ9" s="132"/>
      <c r="AK9" s="132"/>
      <c r="AL9" s="132">
        <v>11000000</v>
      </c>
      <c r="AM9" s="132">
        <f>AK9*4400000</f>
        <v>0</v>
      </c>
      <c r="AN9" s="132">
        <f>F9/26/8*(N9*0.5+O9*0.8)+Z9/2+AI9+AL9+AM9</f>
        <v>11841649.038461538</v>
      </c>
      <c r="AO9" s="132">
        <f>AH9-AN9</f>
        <v>-5752475.961538461</v>
      </c>
      <c r="AP9" s="204">
        <f>IF($A9="",0,IF(AO9&lt;=0,0,IF(AO9&lt;=5000000,AO9*$AW$3,IF(AO9&lt;=10000000,$AW$2*$AW$3+(AO9-$AW$2)*$AX$3,IF(AO9&lt;18000000,$AW$2*$AW$3+$AW$2*$AX$3+(AO9-$AX$2)*$AY$3,IF(AO9&lt;=32000000,$AW$2*$AW$3+$AW$2*$AX$3+$AY$2*$AY$3+(AO9-$AZ$2)*$BA$3))))))</f>
        <v>0</v>
      </c>
      <c r="AQ9" s="132">
        <f t="shared" ref="AQ9:AQ38" si="1">F9/D9/8*P9</f>
        <v>0</v>
      </c>
      <c r="AR9" s="132"/>
      <c r="AS9" s="132">
        <v>300000</v>
      </c>
      <c r="AT9" s="197">
        <f>AP9+AI9+AJ9+SUM(AQ9:AS9)</f>
        <v>300000</v>
      </c>
      <c r="AU9" s="200">
        <f t="shared" ref="AU9:AU38" si="2">AH9-AT9</f>
        <v>5789173.076923077</v>
      </c>
    </row>
    <row r="10" spans="1:54" ht="15.75" x14ac:dyDescent="0.25">
      <c r="A10" s="199">
        <v>2</v>
      </c>
      <c r="B10" s="72" t="s">
        <v>36</v>
      </c>
      <c r="C10" s="73" t="s">
        <v>37</v>
      </c>
      <c r="D10" s="72">
        <v>26</v>
      </c>
      <c r="E10" s="131">
        <f t="shared" ref="E10:E38" si="3">SUM(F10:L10)</f>
        <v>6000000</v>
      </c>
      <c r="F10" s="126">
        <v>4450000</v>
      </c>
      <c r="G10" s="126">
        <v>500000</v>
      </c>
      <c r="H10" s="126">
        <v>250000</v>
      </c>
      <c r="I10" s="126"/>
      <c r="J10" s="126"/>
      <c r="K10" s="126">
        <v>300000</v>
      </c>
      <c r="L10" s="126">
        <v>500000</v>
      </c>
      <c r="M10" s="127">
        <f>'BẢNG CHẤM CÔNG T3'!D10</f>
        <v>15.5</v>
      </c>
      <c r="N10" s="127">
        <f>'BẢNG CHẤM CÔNG T3'!E10</f>
        <v>31.5</v>
      </c>
      <c r="O10" s="127">
        <f>'BẢNG CHẤM CÔNG T3'!F10</f>
        <v>1.5</v>
      </c>
      <c r="P10" s="127">
        <f>'BẢNG CHẤM CÔNG T3'!G10</f>
        <v>0</v>
      </c>
      <c r="Q10" s="127">
        <f>'BẢNG CHẤM CÔNG T3'!H10</f>
        <v>10</v>
      </c>
      <c r="R10" s="127">
        <f>'BẢNG CHẤM CÔNG T3'!I10</f>
        <v>0</v>
      </c>
      <c r="S10" s="127">
        <f>'BẢNG CHẤM CÔNG T3'!J10</f>
        <v>1</v>
      </c>
      <c r="T10" s="127">
        <f>'BẢNG CHẤM CÔNG T3'!K10</f>
        <v>0</v>
      </c>
      <c r="U10" s="127">
        <f>'BẢNG CHẤM CÔNG T3'!L10</f>
        <v>1</v>
      </c>
      <c r="V10" s="127">
        <f>'BẢNG CHẤM CÔNG T3'!M10</f>
        <v>0</v>
      </c>
      <c r="W10" s="132">
        <f t="shared" ref="W10:W73" si="4">F10/D10*(M10+V10)</f>
        <v>2652884.6153846155</v>
      </c>
      <c r="X10" s="132">
        <f t="shared" ref="X10:X73" si="5">F10/D10/8*N10*1.5</f>
        <v>1010877.4038461539</v>
      </c>
      <c r="Y10" s="132">
        <f t="shared" ref="Y10:Y37" si="6">F10/D10/8*O10*1.8</f>
        <v>57764.423076923085</v>
      </c>
      <c r="Z10" s="132">
        <f t="shared" ref="Z10:Z43" si="7">F10/D10/8*Q10*2</f>
        <v>427884.61538461538</v>
      </c>
      <c r="AA10" s="132">
        <f t="shared" ref="AA10:AA73" si="8">G10/D10*M10</f>
        <v>298076.92307692306</v>
      </c>
      <c r="AB10" s="132">
        <f t="shared" ref="AB10:AB37" si="9">H10/D10*M10</f>
        <v>149038.46153846153</v>
      </c>
      <c r="AC10" s="132">
        <f t="shared" ref="AC10:AC73" si="10">I10/D10*M10</f>
        <v>0</v>
      </c>
      <c r="AD10" s="132">
        <f t="shared" ref="AD10:AD73" si="11">J10/D10*M10</f>
        <v>0</v>
      </c>
      <c r="AE10" s="132">
        <f>K10/D10*M10</f>
        <v>178846.15384615384</v>
      </c>
      <c r="AF10" s="132">
        <f>L10/D10*M10</f>
        <v>298076.92307692306</v>
      </c>
      <c r="AG10" s="132"/>
      <c r="AH10" s="197">
        <f>SUM(W10:AG10)</f>
        <v>5073449.5192307699</v>
      </c>
      <c r="AI10" s="132"/>
      <c r="AJ10" s="132"/>
      <c r="AK10" s="132"/>
      <c r="AL10" s="132">
        <v>11000000</v>
      </c>
      <c r="AM10" s="132">
        <f t="shared" ref="AM10:AM73" si="12">AK10*4400000</f>
        <v>0</v>
      </c>
      <c r="AN10" s="132">
        <f>F10/26/8*(N10*0.5+O10*0.8)+Z10/2+AI10+AL10+AM10</f>
        <v>11576574.51923077</v>
      </c>
      <c r="AO10" s="132">
        <f t="shared" ref="AO10:AO73" si="13">AH10-AN10</f>
        <v>-6503125</v>
      </c>
      <c r="AP10" s="204">
        <f t="shared" ref="AP10:AP38" si="14">IF($A10="",0,IF(AO10&lt;=0,0,IF(AO10&lt;=5000000,AO10*$AW$3,IF(AO10&lt;=10000000,$AW$2*$AW$3+(AO10-$AW$2)*$AX$3,IF(AO10&lt;18000000,$AW$2*$AW$3+$AW$2*$AX$3+(AO10-$AX$2)*$AY$3,IF(AO10&lt;=32000000,$AW$2*$AW$3+$AW$2*$AX$3+$AY$2*$AY$3+(AO10-$AZ$2)*$BA$3))))))</f>
        <v>0</v>
      </c>
      <c r="AQ10" s="132">
        <f t="shared" si="1"/>
        <v>0</v>
      </c>
      <c r="AR10" s="132"/>
      <c r="AS10" s="132">
        <v>300000</v>
      </c>
      <c r="AT10" s="197">
        <f t="shared" ref="AT10:AT38" si="15">AP10+AI10+AJ10+SUM(AQ10:AS10)</f>
        <v>300000</v>
      </c>
      <c r="AU10" s="200">
        <f t="shared" si="2"/>
        <v>4773449.5192307699</v>
      </c>
    </row>
    <row r="11" spans="1:54" ht="15.75" x14ac:dyDescent="0.25">
      <c r="A11" s="199">
        <v>3</v>
      </c>
      <c r="B11" s="72" t="s">
        <v>38</v>
      </c>
      <c r="C11" s="73" t="s">
        <v>39</v>
      </c>
      <c r="D11" s="72">
        <v>26</v>
      </c>
      <c r="E11" s="131">
        <f t="shared" si="3"/>
        <v>6000000</v>
      </c>
      <c r="F11" s="126">
        <v>4450000</v>
      </c>
      <c r="G11" s="126">
        <v>500000</v>
      </c>
      <c r="H11" s="126">
        <v>250000</v>
      </c>
      <c r="I11" s="126"/>
      <c r="J11" s="126"/>
      <c r="K11" s="126">
        <v>300000</v>
      </c>
      <c r="L11" s="126">
        <v>500000</v>
      </c>
      <c r="M11" s="127">
        <f>'BẢNG CHẤM CÔNG T3'!D11</f>
        <v>16.5</v>
      </c>
      <c r="N11" s="127">
        <f>'BẢNG CHẤM CÔNG T3'!E11</f>
        <v>32.5</v>
      </c>
      <c r="O11" s="127">
        <f>'BẢNG CHẤM CÔNG T3'!F11</f>
        <v>0</v>
      </c>
      <c r="P11" s="127">
        <f>'BẢNG CHẤM CÔNG T3'!G11</f>
        <v>0</v>
      </c>
      <c r="Q11" s="127">
        <f>'BẢNG CHẤM CÔNG T3'!H11</f>
        <v>0</v>
      </c>
      <c r="R11" s="127">
        <f>'BẢNG CHẤM CÔNG T3'!I11</f>
        <v>0</v>
      </c>
      <c r="S11" s="127">
        <f>'BẢNG CHẤM CÔNG T3'!J11</f>
        <v>0</v>
      </c>
      <c r="T11" s="127">
        <f>'BẢNG CHẤM CÔNG T3'!K11</f>
        <v>0</v>
      </c>
      <c r="U11" s="127">
        <f>'BẢNG CHẤM CÔNG T3'!L11</f>
        <v>1</v>
      </c>
      <c r="V11" s="127">
        <f>'BẢNG CHẤM CÔNG T3'!M11</f>
        <v>0</v>
      </c>
      <c r="W11" s="132">
        <f t="shared" si="4"/>
        <v>2824038.4615384615</v>
      </c>
      <c r="X11" s="132">
        <f t="shared" si="5"/>
        <v>1042968.75</v>
      </c>
      <c r="Y11" s="132">
        <f t="shared" si="6"/>
        <v>0</v>
      </c>
      <c r="Z11" s="132">
        <f t="shared" si="7"/>
        <v>0</v>
      </c>
      <c r="AA11" s="132">
        <f t="shared" si="8"/>
        <v>317307.69230769231</v>
      </c>
      <c r="AB11" s="132">
        <f t="shared" si="9"/>
        <v>158653.84615384616</v>
      </c>
      <c r="AC11" s="132">
        <f t="shared" si="10"/>
        <v>0</v>
      </c>
      <c r="AD11" s="132">
        <f t="shared" si="11"/>
        <v>0</v>
      </c>
      <c r="AE11" s="132">
        <f t="shared" ref="AE11:AE44" si="16">K11/D11*M11</f>
        <v>190384.6153846154</v>
      </c>
      <c r="AF11" s="132">
        <f t="shared" ref="AF11:AF74" si="17">L11/D11*M11</f>
        <v>317307.69230769231</v>
      </c>
      <c r="AG11" s="132"/>
      <c r="AH11" s="197">
        <f t="shared" ref="AH11:AH74" si="18">SUM(W11:AG11)</f>
        <v>4850661.057692307</v>
      </c>
      <c r="AI11" s="132"/>
      <c r="AJ11" s="132"/>
      <c r="AK11" s="132"/>
      <c r="AL11" s="132">
        <v>11000000</v>
      </c>
      <c r="AM11" s="132">
        <f t="shared" si="12"/>
        <v>0</v>
      </c>
      <c r="AN11" s="132">
        <f>F11/26/8*(N11*0.5+O11*0.8)+Z11/2+AI11+AL11+AM11</f>
        <v>11347656.25</v>
      </c>
      <c r="AO11" s="132">
        <f t="shared" si="13"/>
        <v>-6496995.192307693</v>
      </c>
      <c r="AP11" s="204">
        <f t="shared" si="14"/>
        <v>0</v>
      </c>
      <c r="AQ11" s="132">
        <f t="shared" si="1"/>
        <v>0</v>
      </c>
      <c r="AR11" s="132"/>
      <c r="AS11" s="132">
        <v>300000</v>
      </c>
      <c r="AT11" s="197">
        <f t="shared" si="15"/>
        <v>300000</v>
      </c>
      <c r="AU11" s="200">
        <f t="shared" si="2"/>
        <v>4550661.057692307</v>
      </c>
    </row>
    <row r="12" spans="1:54" ht="15.75" x14ac:dyDescent="0.25">
      <c r="A12" s="199">
        <v>4</v>
      </c>
      <c r="B12" s="72" t="s">
        <v>40</v>
      </c>
      <c r="C12" s="73" t="s">
        <v>41</v>
      </c>
      <c r="D12" s="72">
        <v>26</v>
      </c>
      <c r="E12" s="131">
        <f t="shared" si="3"/>
        <v>7500000</v>
      </c>
      <c r="F12" s="126">
        <v>4450000</v>
      </c>
      <c r="G12" s="126">
        <v>500000</v>
      </c>
      <c r="H12" s="126">
        <v>250000</v>
      </c>
      <c r="I12" s="126">
        <v>300000</v>
      </c>
      <c r="J12" s="126"/>
      <c r="K12" s="126">
        <v>500000</v>
      </c>
      <c r="L12" s="126">
        <v>1500000</v>
      </c>
      <c r="M12" s="127">
        <f>'BẢNG CHẤM CÔNG T3'!D12</f>
        <v>26</v>
      </c>
      <c r="N12" s="127">
        <f>'BẢNG CHẤM CÔNG T3'!E12</f>
        <v>89.7</v>
      </c>
      <c r="O12" s="127">
        <f>'BẢNG CHẤM CÔNG T3'!F12</f>
        <v>2.8</v>
      </c>
      <c r="P12" s="127">
        <f>'BẢNG CHẤM CÔNG T3'!G12</f>
        <v>0.5</v>
      </c>
      <c r="Q12" s="127">
        <f>'BẢNG CHẤM CÔNG T3'!H12</f>
        <v>36.200000000000003</v>
      </c>
      <c r="R12" s="127">
        <f>'BẢNG CHẤM CÔNG T3'!I12</f>
        <v>0</v>
      </c>
      <c r="S12" s="127">
        <f>'BẢNG CHẤM CÔNG T3'!J12</f>
        <v>0</v>
      </c>
      <c r="T12" s="127">
        <f>'BẢNG CHẤM CÔNG T3'!K12</f>
        <v>0</v>
      </c>
      <c r="U12" s="127">
        <f>'BẢNG CHẤM CÔNG T3'!L12</f>
        <v>0</v>
      </c>
      <c r="V12" s="127">
        <f>'BẢNG CHẤM CÔNG T3'!M12</f>
        <v>0</v>
      </c>
      <c r="W12" s="132">
        <f t="shared" si="4"/>
        <v>4450000</v>
      </c>
      <c r="X12" s="132">
        <f>F12/D12/8*N12*1.5</f>
        <v>2878593.75</v>
      </c>
      <c r="Y12" s="132">
        <f t="shared" si="6"/>
        <v>107826.92307692306</v>
      </c>
      <c r="Z12" s="132">
        <f t="shared" si="7"/>
        <v>1548942.3076923077</v>
      </c>
      <c r="AA12" s="132">
        <f t="shared" si="8"/>
        <v>500000</v>
      </c>
      <c r="AB12" s="132">
        <f t="shared" si="9"/>
        <v>250000</v>
      </c>
      <c r="AC12" s="132">
        <f t="shared" si="10"/>
        <v>300000</v>
      </c>
      <c r="AD12" s="132">
        <f t="shared" si="11"/>
        <v>0</v>
      </c>
      <c r="AE12" s="132">
        <f t="shared" si="16"/>
        <v>500000</v>
      </c>
      <c r="AF12" s="132">
        <f t="shared" si="17"/>
        <v>1500000</v>
      </c>
      <c r="AG12" s="132"/>
      <c r="AH12" s="197">
        <f t="shared" si="18"/>
        <v>12035362.98076923</v>
      </c>
      <c r="AI12" s="132"/>
      <c r="AJ12" s="132"/>
      <c r="AK12" s="132"/>
      <c r="AL12" s="132">
        <v>11000000</v>
      </c>
      <c r="AM12" s="132">
        <f t="shared" si="12"/>
        <v>0</v>
      </c>
      <c r="AN12" s="132">
        <f>F12/26/8*(N12*0.5+O12*0.8)+Z12/2+AI12+AL12+AM12</f>
        <v>12781925.480769232</v>
      </c>
      <c r="AO12" s="132">
        <f t="shared" si="13"/>
        <v>-746562.50000000186</v>
      </c>
      <c r="AP12" s="204">
        <f t="shared" si="14"/>
        <v>0</v>
      </c>
      <c r="AQ12" s="132">
        <f t="shared" si="1"/>
        <v>10697.115384615385</v>
      </c>
      <c r="AR12" s="132"/>
      <c r="AS12" s="132"/>
      <c r="AT12" s="197">
        <f t="shared" si="15"/>
        <v>10697.115384615385</v>
      </c>
      <c r="AU12" s="200">
        <f t="shared" si="2"/>
        <v>12024665.865384614</v>
      </c>
    </row>
    <row r="13" spans="1:54" ht="15.75" x14ac:dyDescent="0.25">
      <c r="A13" s="199">
        <v>5</v>
      </c>
      <c r="B13" s="72" t="s">
        <v>42</v>
      </c>
      <c r="C13" s="73" t="s">
        <v>43</v>
      </c>
      <c r="D13" s="72">
        <v>26</v>
      </c>
      <c r="E13" s="131">
        <f t="shared" si="3"/>
        <v>6500000</v>
      </c>
      <c r="F13" s="126">
        <v>4450000</v>
      </c>
      <c r="G13" s="126">
        <v>500000</v>
      </c>
      <c r="H13" s="126">
        <v>250000</v>
      </c>
      <c r="I13" s="126">
        <v>300000</v>
      </c>
      <c r="J13" s="126"/>
      <c r="K13" s="126">
        <v>500000</v>
      </c>
      <c r="L13" s="126">
        <v>500000</v>
      </c>
      <c r="M13" s="127">
        <f>'BẢNG CHẤM CÔNG T3'!D13</f>
        <v>26</v>
      </c>
      <c r="N13" s="127">
        <f>'BẢNG CHẤM CÔNG T3'!E13</f>
        <v>66.7</v>
      </c>
      <c r="O13" s="127">
        <f>'BẢNG CHẤM CÔNG T3'!F13</f>
        <v>0.5</v>
      </c>
      <c r="P13" s="127">
        <f>'BẢNG CHẤM CÔNG T3'!G13</f>
        <v>0</v>
      </c>
      <c r="Q13" s="127">
        <f>'BẢNG CHẤM CÔNG T3'!H13</f>
        <v>0</v>
      </c>
      <c r="R13" s="127">
        <f>'BẢNG CHẤM CÔNG T3'!I13</f>
        <v>0</v>
      </c>
      <c r="S13" s="127">
        <f>'BẢNG CHẤM CÔNG T3'!J13</f>
        <v>0</v>
      </c>
      <c r="T13" s="127">
        <f>'BẢNG CHẤM CÔNG T3'!K13</f>
        <v>0</v>
      </c>
      <c r="U13" s="127">
        <f>'BẢNG CHẤM CÔNG T3'!L13</f>
        <v>0</v>
      </c>
      <c r="V13" s="127">
        <f>'BẢNG CHẤM CÔNG T3'!M13</f>
        <v>0</v>
      </c>
      <c r="W13" s="132">
        <f t="shared" si="4"/>
        <v>4450000</v>
      </c>
      <c r="X13" s="132">
        <f t="shared" si="5"/>
        <v>2140492.788461539</v>
      </c>
      <c r="Y13" s="132">
        <f t="shared" si="6"/>
        <v>19254.807692307691</v>
      </c>
      <c r="Z13" s="132">
        <f t="shared" si="7"/>
        <v>0</v>
      </c>
      <c r="AA13" s="132">
        <f t="shared" si="8"/>
        <v>500000</v>
      </c>
      <c r="AB13" s="132">
        <f t="shared" si="9"/>
        <v>250000</v>
      </c>
      <c r="AC13" s="132">
        <f t="shared" si="10"/>
        <v>300000</v>
      </c>
      <c r="AD13" s="132">
        <f t="shared" si="11"/>
        <v>0</v>
      </c>
      <c r="AE13" s="132">
        <f t="shared" si="16"/>
        <v>500000</v>
      </c>
      <c r="AF13" s="132">
        <f t="shared" si="17"/>
        <v>500000</v>
      </c>
      <c r="AG13" s="132">
        <v>1123978.3653846155</v>
      </c>
      <c r="AH13" s="197">
        <f t="shared" si="18"/>
        <v>9783725.9615384638</v>
      </c>
      <c r="AI13" s="132"/>
      <c r="AJ13" s="132"/>
      <c r="AK13" s="132"/>
      <c r="AL13" s="132">
        <v>11000000</v>
      </c>
      <c r="AM13" s="132">
        <f t="shared" si="12"/>
        <v>0</v>
      </c>
      <c r="AN13" s="132">
        <f>F13/26/8*(N13*0.5+O13*0.8)+Z13/2+AI13+AL13+AM13</f>
        <v>11722055.288461538</v>
      </c>
      <c r="AO13" s="132">
        <f t="shared" si="13"/>
        <v>-1938329.3269230742</v>
      </c>
      <c r="AP13" s="204">
        <f t="shared" si="14"/>
        <v>0</v>
      </c>
      <c r="AQ13" s="132">
        <f t="shared" si="1"/>
        <v>0</v>
      </c>
      <c r="AR13" s="132"/>
      <c r="AS13" s="132"/>
      <c r="AT13" s="197">
        <f t="shared" si="15"/>
        <v>0</v>
      </c>
      <c r="AU13" s="200">
        <f t="shared" si="2"/>
        <v>9783725.9615384638</v>
      </c>
    </row>
    <row r="14" spans="1:54" ht="15.75" x14ac:dyDescent="0.25">
      <c r="A14" s="199">
        <v>6</v>
      </c>
      <c r="B14" s="72" t="s">
        <v>44</v>
      </c>
      <c r="C14" s="73" t="s">
        <v>45</v>
      </c>
      <c r="D14" s="72">
        <v>26</v>
      </c>
      <c r="E14" s="131">
        <f t="shared" si="3"/>
        <v>6000000</v>
      </c>
      <c r="F14" s="126">
        <v>4450000</v>
      </c>
      <c r="G14" s="126">
        <v>500000</v>
      </c>
      <c r="H14" s="126">
        <v>250000</v>
      </c>
      <c r="I14" s="126"/>
      <c r="J14" s="126"/>
      <c r="K14" s="126">
        <v>300000</v>
      </c>
      <c r="L14" s="126">
        <v>500000</v>
      </c>
      <c r="M14" s="127">
        <f>'BẢNG CHẤM CÔNG T3'!D14</f>
        <v>25.5</v>
      </c>
      <c r="N14" s="127">
        <f>'BẢNG CHẤM CÔNG T3'!E14</f>
        <v>83.5</v>
      </c>
      <c r="O14" s="127">
        <f>'BẢNG CHẤM CÔNG T3'!F14</f>
        <v>0</v>
      </c>
      <c r="P14" s="127">
        <f>'BẢNG CHẤM CÔNG T3'!G14</f>
        <v>0</v>
      </c>
      <c r="Q14" s="127">
        <f>'BẢNG CHẤM CÔNG T3'!H14</f>
        <v>40.5</v>
      </c>
      <c r="R14" s="127">
        <f>'BẢNG CHẤM CÔNG T3'!I14</f>
        <v>0</v>
      </c>
      <c r="S14" s="127">
        <f>'BẢNG CHẤM CÔNG T3'!J14</f>
        <v>0</v>
      </c>
      <c r="T14" s="127">
        <f>'BẢNG CHẤM CÔNG T3'!K14</f>
        <v>0</v>
      </c>
      <c r="U14" s="127">
        <f>'BẢNG CHẤM CÔNG T3'!L14</f>
        <v>0</v>
      </c>
      <c r="V14" s="127">
        <f>'BẢNG CHẤM CÔNG T3'!M14</f>
        <v>0</v>
      </c>
      <c r="W14" s="132">
        <f t="shared" si="4"/>
        <v>4364423.076923077</v>
      </c>
      <c r="X14" s="132">
        <f t="shared" si="5"/>
        <v>2679627.403846154</v>
      </c>
      <c r="Y14" s="132">
        <f t="shared" si="6"/>
        <v>0</v>
      </c>
      <c r="Z14" s="132">
        <f t="shared" si="7"/>
        <v>1732932.6923076923</v>
      </c>
      <c r="AA14" s="132">
        <f t="shared" si="8"/>
        <v>490384.61538461538</v>
      </c>
      <c r="AB14" s="132">
        <f t="shared" si="9"/>
        <v>245192.30769230769</v>
      </c>
      <c r="AC14" s="132">
        <f t="shared" si="10"/>
        <v>0</v>
      </c>
      <c r="AD14" s="132">
        <f t="shared" si="11"/>
        <v>0</v>
      </c>
      <c r="AE14" s="132">
        <f t="shared" si="16"/>
        <v>294230.76923076925</v>
      </c>
      <c r="AF14" s="132">
        <f t="shared" si="17"/>
        <v>490384.61538461538</v>
      </c>
      <c r="AG14" s="132"/>
      <c r="AH14" s="197">
        <f t="shared" si="18"/>
        <v>10297175.480769234</v>
      </c>
      <c r="AI14" s="132"/>
      <c r="AJ14" s="132"/>
      <c r="AK14" s="132"/>
      <c r="AL14" s="132">
        <v>11000000</v>
      </c>
      <c r="AM14" s="132">
        <f t="shared" si="12"/>
        <v>0</v>
      </c>
      <c r="AN14" s="132">
        <f t="shared" ref="AN14:AN77" si="19">F14/26/8*(N14*0.5+O14*0.8)+Z14/2+AI14+AL14+AM14</f>
        <v>12759675.48076923</v>
      </c>
      <c r="AO14" s="132">
        <f t="shared" si="13"/>
        <v>-2462499.9999999963</v>
      </c>
      <c r="AP14" s="204">
        <f t="shared" si="14"/>
        <v>0</v>
      </c>
      <c r="AQ14" s="132">
        <f t="shared" si="1"/>
        <v>0</v>
      </c>
      <c r="AR14" s="132"/>
      <c r="AS14" s="132"/>
      <c r="AT14" s="197">
        <f t="shared" si="15"/>
        <v>0</v>
      </c>
      <c r="AU14" s="200">
        <f t="shared" si="2"/>
        <v>10297175.480769234</v>
      </c>
    </row>
    <row r="15" spans="1:54" ht="15.75" x14ac:dyDescent="0.25">
      <c r="A15" s="199">
        <v>7</v>
      </c>
      <c r="B15" s="72" t="s">
        <v>46</v>
      </c>
      <c r="C15" s="73" t="s">
        <v>465</v>
      </c>
      <c r="D15" s="72">
        <v>26</v>
      </c>
      <c r="E15" s="131">
        <f t="shared" si="3"/>
        <v>6000000</v>
      </c>
      <c r="F15" s="126">
        <v>4450000</v>
      </c>
      <c r="G15" s="126">
        <v>500000</v>
      </c>
      <c r="H15" s="126">
        <v>250000</v>
      </c>
      <c r="I15" s="126"/>
      <c r="J15" s="126"/>
      <c r="K15" s="126">
        <v>300000</v>
      </c>
      <c r="L15" s="126">
        <v>500000</v>
      </c>
      <c r="M15" s="127">
        <f>'BẢNG CHẤM CÔNG T3'!D15</f>
        <v>25.5</v>
      </c>
      <c r="N15" s="127">
        <f>'BẢNG CHẤM CÔNG T3'!E15</f>
        <v>81.5</v>
      </c>
      <c r="O15" s="127">
        <f>'BẢNG CHẤM CÔNG T3'!F15</f>
        <v>0</v>
      </c>
      <c r="P15" s="127">
        <f>'BẢNG CHẤM CÔNG T3'!G15</f>
        <v>0</v>
      </c>
      <c r="Q15" s="127">
        <f>'BẢNG CHẤM CÔNG T3'!H15</f>
        <v>40.5</v>
      </c>
      <c r="R15" s="127">
        <f>'BẢNG CHẤM CÔNG T3'!I15</f>
        <v>0</v>
      </c>
      <c r="S15" s="127">
        <f>'BẢNG CHẤM CÔNG T3'!J15</f>
        <v>0</v>
      </c>
      <c r="T15" s="127">
        <f>'BẢNG CHẤM CÔNG T3'!K15</f>
        <v>0</v>
      </c>
      <c r="U15" s="127">
        <f>'BẢNG CHẤM CÔNG T3'!L15</f>
        <v>0</v>
      </c>
      <c r="V15" s="127">
        <f>'BẢNG CHẤM CÔNG T3'!M15</f>
        <v>0</v>
      </c>
      <c r="W15" s="132">
        <f t="shared" si="4"/>
        <v>4364423.076923077</v>
      </c>
      <c r="X15" s="132">
        <f t="shared" si="5"/>
        <v>2615444.7115384615</v>
      </c>
      <c r="Y15" s="132">
        <f t="shared" si="6"/>
        <v>0</v>
      </c>
      <c r="Z15" s="132">
        <f t="shared" si="7"/>
        <v>1732932.6923076923</v>
      </c>
      <c r="AA15" s="132">
        <f t="shared" si="8"/>
        <v>490384.61538461538</v>
      </c>
      <c r="AB15" s="132">
        <f t="shared" si="9"/>
        <v>245192.30769230769</v>
      </c>
      <c r="AC15" s="132">
        <f t="shared" si="10"/>
        <v>0</v>
      </c>
      <c r="AD15" s="132">
        <f t="shared" si="11"/>
        <v>0</v>
      </c>
      <c r="AE15" s="132">
        <f t="shared" si="16"/>
        <v>294230.76923076925</v>
      </c>
      <c r="AF15" s="132">
        <f t="shared" si="17"/>
        <v>490384.61538461538</v>
      </c>
      <c r="AG15" s="132"/>
      <c r="AH15" s="197">
        <f t="shared" si="18"/>
        <v>10232992.78846154</v>
      </c>
      <c r="AI15" s="132"/>
      <c r="AJ15" s="132"/>
      <c r="AK15" s="132"/>
      <c r="AL15" s="132">
        <v>11000000</v>
      </c>
      <c r="AM15" s="132">
        <f t="shared" si="12"/>
        <v>0</v>
      </c>
      <c r="AN15" s="132">
        <f t="shared" si="19"/>
        <v>12738281.25</v>
      </c>
      <c r="AO15" s="132">
        <f t="shared" si="13"/>
        <v>-2505288.4615384601</v>
      </c>
      <c r="AP15" s="204">
        <f t="shared" si="14"/>
        <v>0</v>
      </c>
      <c r="AQ15" s="132">
        <f t="shared" si="1"/>
        <v>0</v>
      </c>
      <c r="AR15" s="132"/>
      <c r="AS15" s="132"/>
      <c r="AT15" s="197">
        <f t="shared" si="15"/>
        <v>0</v>
      </c>
      <c r="AU15" s="200">
        <f t="shared" si="2"/>
        <v>10232992.78846154</v>
      </c>
    </row>
    <row r="16" spans="1:54" ht="15.75" x14ac:dyDescent="0.25">
      <c r="A16" s="199">
        <v>8</v>
      </c>
      <c r="B16" s="72" t="s">
        <v>48</v>
      </c>
      <c r="C16" s="73" t="s">
        <v>49</v>
      </c>
      <c r="D16" s="72">
        <v>26</v>
      </c>
      <c r="E16" s="131">
        <f t="shared" si="3"/>
        <v>6000000</v>
      </c>
      <c r="F16" s="126">
        <v>4450000</v>
      </c>
      <c r="G16" s="126">
        <v>500000</v>
      </c>
      <c r="H16" s="126">
        <v>250000</v>
      </c>
      <c r="I16" s="126"/>
      <c r="J16" s="126"/>
      <c r="K16" s="126">
        <v>300000</v>
      </c>
      <c r="L16" s="126">
        <v>500000</v>
      </c>
      <c r="M16" s="127">
        <f>'BẢNG CHẤM CÔNG T3'!D16</f>
        <v>24</v>
      </c>
      <c r="N16" s="127">
        <f>'BẢNG CHẤM CÔNG T3'!E16</f>
        <v>23.5</v>
      </c>
      <c r="O16" s="127">
        <f>'BẢNG CHẤM CÔNG T3'!F16</f>
        <v>0</v>
      </c>
      <c r="P16" s="127">
        <f>'BẢNG CHẤM CÔNG T3'!G16</f>
        <v>0</v>
      </c>
      <c r="Q16" s="127">
        <f>'BẢNG CHẤM CÔNG T3'!H16</f>
        <v>13.5</v>
      </c>
      <c r="R16" s="127">
        <f>'BẢNG CHẤM CÔNG T3'!I16</f>
        <v>0</v>
      </c>
      <c r="S16" s="127">
        <f>'BẢNG CHẤM CÔNG T3'!J16</f>
        <v>2</v>
      </c>
      <c r="T16" s="127">
        <f>'BẢNG CHẤM CÔNG T3'!K16</f>
        <v>0</v>
      </c>
      <c r="U16" s="127">
        <f>'BẢNG CHẤM CÔNG T3'!L16</f>
        <v>0</v>
      </c>
      <c r="V16" s="127">
        <f>'BẢNG CHẤM CÔNG T3'!M16</f>
        <v>0</v>
      </c>
      <c r="W16" s="132">
        <f t="shared" si="4"/>
        <v>4107692.307692308</v>
      </c>
      <c r="X16" s="132">
        <f t="shared" si="5"/>
        <v>754146.63461538462</v>
      </c>
      <c r="Y16" s="132">
        <f t="shared" si="6"/>
        <v>0</v>
      </c>
      <c r="Z16" s="132">
        <f t="shared" si="7"/>
        <v>577644.23076923075</v>
      </c>
      <c r="AA16" s="132">
        <f t="shared" si="8"/>
        <v>461538.4615384615</v>
      </c>
      <c r="AB16" s="132">
        <f t="shared" si="9"/>
        <v>230769.23076923075</v>
      </c>
      <c r="AC16" s="132">
        <f t="shared" si="10"/>
        <v>0</v>
      </c>
      <c r="AD16" s="132">
        <f t="shared" si="11"/>
        <v>0</v>
      </c>
      <c r="AE16" s="132">
        <f t="shared" si="16"/>
        <v>276923.07692307694</v>
      </c>
      <c r="AF16" s="132">
        <f t="shared" si="17"/>
        <v>461538.4615384615</v>
      </c>
      <c r="AG16" s="132"/>
      <c r="AH16" s="197">
        <f t="shared" si="18"/>
        <v>6870252.4038461559</v>
      </c>
      <c r="AI16" s="132"/>
      <c r="AJ16" s="132"/>
      <c r="AK16" s="132"/>
      <c r="AL16" s="132">
        <v>11000000</v>
      </c>
      <c r="AM16" s="132">
        <f t="shared" si="12"/>
        <v>0</v>
      </c>
      <c r="AN16" s="132">
        <f t="shared" si="19"/>
        <v>11540204.326923076</v>
      </c>
      <c r="AO16" s="132">
        <f t="shared" si="13"/>
        <v>-4669951.9230769202</v>
      </c>
      <c r="AP16" s="204">
        <f t="shared" si="14"/>
        <v>0</v>
      </c>
      <c r="AQ16" s="132">
        <f t="shared" si="1"/>
        <v>0</v>
      </c>
      <c r="AR16" s="132"/>
      <c r="AS16" s="132"/>
      <c r="AT16" s="197">
        <f t="shared" si="15"/>
        <v>0</v>
      </c>
      <c r="AU16" s="200">
        <f t="shared" si="2"/>
        <v>6870252.4038461559</v>
      </c>
    </row>
    <row r="17" spans="1:49" ht="15.75" x14ac:dyDescent="0.25">
      <c r="A17" s="199">
        <v>9</v>
      </c>
      <c r="B17" s="72" t="s">
        <v>50</v>
      </c>
      <c r="C17" s="73" t="s">
        <v>51</v>
      </c>
      <c r="D17" s="72">
        <v>26</v>
      </c>
      <c r="E17" s="131">
        <f t="shared" si="3"/>
        <v>6000000</v>
      </c>
      <c r="F17" s="126">
        <v>4450000</v>
      </c>
      <c r="G17" s="126">
        <v>500000</v>
      </c>
      <c r="H17" s="126">
        <v>250000</v>
      </c>
      <c r="I17" s="126"/>
      <c r="J17" s="126"/>
      <c r="K17" s="126">
        <v>300000</v>
      </c>
      <c r="L17" s="126">
        <v>500000</v>
      </c>
      <c r="M17" s="127">
        <f>'BẢNG CHẤM CÔNG T3'!D17</f>
        <v>26</v>
      </c>
      <c r="N17" s="127">
        <f>'BẢNG CHẤM CÔNG T3'!E17</f>
        <v>52</v>
      </c>
      <c r="O17" s="127">
        <f>'BẢNG CHẤM CÔNG T3'!F17</f>
        <v>1.5</v>
      </c>
      <c r="P17" s="127">
        <f>'BẢNG CHẤM CÔNG T3'!G17</f>
        <v>0</v>
      </c>
      <c r="Q17" s="127">
        <f>'BẢNG CHẤM CÔNG T3'!H17</f>
        <v>0</v>
      </c>
      <c r="R17" s="127">
        <f>'BẢNG CHẤM CÔNG T3'!I17</f>
        <v>0</v>
      </c>
      <c r="S17" s="127">
        <f>'BẢNG CHẤM CÔNG T3'!J17</f>
        <v>0</v>
      </c>
      <c r="T17" s="127">
        <f>'BẢNG CHẤM CÔNG T3'!K17</f>
        <v>0</v>
      </c>
      <c r="U17" s="127">
        <f>'BẢNG CHẤM CÔNG T3'!L17</f>
        <v>0</v>
      </c>
      <c r="V17" s="127">
        <f>'BẢNG CHẤM CÔNG T3'!M17</f>
        <v>0</v>
      </c>
      <c r="W17" s="132">
        <f t="shared" si="4"/>
        <v>4450000</v>
      </c>
      <c r="X17" s="132">
        <f t="shared" si="5"/>
        <v>1668750</v>
      </c>
      <c r="Y17" s="132">
        <f t="shared" si="6"/>
        <v>57764.423076923085</v>
      </c>
      <c r="Z17" s="132">
        <f t="shared" si="7"/>
        <v>0</v>
      </c>
      <c r="AA17" s="132">
        <f t="shared" si="8"/>
        <v>500000</v>
      </c>
      <c r="AB17" s="132">
        <f t="shared" si="9"/>
        <v>250000</v>
      </c>
      <c r="AC17" s="132">
        <f t="shared" si="10"/>
        <v>0</v>
      </c>
      <c r="AD17" s="132">
        <f t="shared" si="11"/>
        <v>0</v>
      </c>
      <c r="AE17" s="132">
        <f t="shared" si="16"/>
        <v>300000</v>
      </c>
      <c r="AF17" s="132">
        <f t="shared" si="17"/>
        <v>500000</v>
      </c>
      <c r="AG17" s="132"/>
      <c r="AH17" s="197">
        <f t="shared" si="18"/>
        <v>7726514.423076923</v>
      </c>
      <c r="AI17" s="132"/>
      <c r="AJ17" s="132"/>
      <c r="AK17" s="132"/>
      <c r="AL17" s="132">
        <v>11000000</v>
      </c>
      <c r="AM17" s="132">
        <f t="shared" si="12"/>
        <v>0</v>
      </c>
      <c r="AN17" s="132">
        <f t="shared" si="19"/>
        <v>11581923.076923076</v>
      </c>
      <c r="AO17" s="132">
        <f t="shared" si="13"/>
        <v>-3855408.6538461531</v>
      </c>
      <c r="AP17" s="204">
        <f t="shared" si="14"/>
        <v>0</v>
      </c>
      <c r="AQ17" s="132">
        <f t="shared" si="1"/>
        <v>0</v>
      </c>
      <c r="AR17" s="132"/>
      <c r="AS17" s="132"/>
      <c r="AT17" s="197">
        <f t="shared" si="15"/>
        <v>0</v>
      </c>
      <c r="AU17" s="200">
        <f t="shared" si="2"/>
        <v>7726514.423076923</v>
      </c>
    </row>
    <row r="18" spans="1:49" ht="15.75" x14ac:dyDescent="0.25">
      <c r="A18" s="199">
        <v>10</v>
      </c>
      <c r="B18" s="72" t="s">
        <v>52</v>
      </c>
      <c r="C18" s="73" t="s">
        <v>53</v>
      </c>
      <c r="D18" s="72">
        <v>26</v>
      </c>
      <c r="E18" s="131">
        <f t="shared" si="3"/>
        <v>6000000</v>
      </c>
      <c r="F18" s="126">
        <v>4450000</v>
      </c>
      <c r="G18" s="126">
        <v>500000</v>
      </c>
      <c r="H18" s="126">
        <v>250000</v>
      </c>
      <c r="I18" s="126"/>
      <c r="J18" s="126"/>
      <c r="K18" s="126">
        <v>300000</v>
      </c>
      <c r="L18" s="126">
        <v>500000</v>
      </c>
      <c r="M18" s="127">
        <f>'BẢNG CHẤM CÔNG T3'!D18</f>
        <v>26</v>
      </c>
      <c r="N18" s="127">
        <f>'BẢNG CHẤM CÔNG T3'!E18</f>
        <v>82</v>
      </c>
      <c r="O18" s="127">
        <f>'BẢNG CHẤM CÔNG T3'!F18</f>
        <v>1.5</v>
      </c>
      <c r="P18" s="127">
        <f>'BẢNG CHẤM CÔNG T3'!G18</f>
        <v>1</v>
      </c>
      <c r="Q18" s="127">
        <f>'BẢNG CHẤM CÔNG T3'!H18</f>
        <v>23.5</v>
      </c>
      <c r="R18" s="127">
        <f>'BẢNG CHẤM CÔNG T3'!I18</f>
        <v>0</v>
      </c>
      <c r="S18" s="127">
        <f>'BẢNG CHẤM CÔNG T3'!J18</f>
        <v>0</v>
      </c>
      <c r="T18" s="127">
        <f>'BẢNG CHẤM CÔNG T3'!K18</f>
        <v>0</v>
      </c>
      <c r="U18" s="127">
        <f>'BẢNG CHẤM CÔNG T3'!L18</f>
        <v>0</v>
      </c>
      <c r="V18" s="127">
        <f>'BẢNG CHẤM CÔNG T3'!M18</f>
        <v>0</v>
      </c>
      <c r="W18" s="132">
        <f t="shared" si="4"/>
        <v>4450000</v>
      </c>
      <c r="X18" s="132">
        <f t="shared" si="5"/>
        <v>2631490.3846153845</v>
      </c>
      <c r="Y18" s="132">
        <f t="shared" si="6"/>
        <v>57764.423076923085</v>
      </c>
      <c r="Z18" s="132">
        <f t="shared" si="7"/>
        <v>1005528.8461538461</v>
      </c>
      <c r="AA18" s="132">
        <f t="shared" si="8"/>
        <v>500000</v>
      </c>
      <c r="AB18" s="132">
        <f t="shared" si="9"/>
        <v>250000</v>
      </c>
      <c r="AC18" s="132">
        <f t="shared" si="10"/>
        <v>0</v>
      </c>
      <c r="AD18" s="132">
        <f t="shared" si="11"/>
        <v>0</v>
      </c>
      <c r="AE18" s="132">
        <f t="shared" si="16"/>
        <v>300000</v>
      </c>
      <c r="AF18" s="132">
        <f t="shared" si="17"/>
        <v>500000</v>
      </c>
      <c r="AG18" s="132"/>
      <c r="AH18" s="197">
        <f t="shared" si="18"/>
        <v>9694783.6538461521</v>
      </c>
      <c r="AI18" s="132"/>
      <c r="AJ18" s="132"/>
      <c r="AK18" s="132"/>
      <c r="AL18" s="132">
        <v>11000000</v>
      </c>
      <c r="AM18" s="132">
        <f t="shared" si="12"/>
        <v>0</v>
      </c>
      <c r="AN18" s="132">
        <f t="shared" si="19"/>
        <v>12405600.961538462</v>
      </c>
      <c r="AO18" s="132">
        <f t="shared" si="13"/>
        <v>-2710817.3076923098</v>
      </c>
      <c r="AP18" s="204">
        <f t="shared" si="14"/>
        <v>0</v>
      </c>
      <c r="AQ18" s="132">
        <f t="shared" si="1"/>
        <v>21394.23076923077</v>
      </c>
      <c r="AR18" s="132"/>
      <c r="AS18" s="132"/>
      <c r="AT18" s="197">
        <f t="shared" si="15"/>
        <v>21394.23076923077</v>
      </c>
      <c r="AU18" s="200">
        <f t="shared" si="2"/>
        <v>9673389.4230769221</v>
      </c>
    </row>
    <row r="19" spans="1:49" ht="15.75" x14ac:dyDescent="0.25">
      <c r="A19" s="199">
        <v>11</v>
      </c>
      <c r="B19" s="72" t="s">
        <v>54</v>
      </c>
      <c r="C19" s="73" t="s">
        <v>55</v>
      </c>
      <c r="D19" s="72">
        <v>26</v>
      </c>
      <c r="E19" s="131">
        <f t="shared" si="3"/>
        <v>6000000</v>
      </c>
      <c r="F19" s="126">
        <v>4450000</v>
      </c>
      <c r="G19" s="126">
        <v>500000</v>
      </c>
      <c r="H19" s="126">
        <v>250000</v>
      </c>
      <c r="I19" s="126"/>
      <c r="J19" s="126"/>
      <c r="K19" s="126">
        <v>300000</v>
      </c>
      <c r="L19" s="126">
        <v>500000</v>
      </c>
      <c r="M19" s="127">
        <f>'BẢNG CHẤM CÔNG T3'!D19</f>
        <v>26</v>
      </c>
      <c r="N19" s="127">
        <f>'BẢNG CHẤM CÔNG T3'!E19</f>
        <v>85.5</v>
      </c>
      <c r="O19" s="127">
        <f>'BẢNG CHẤM CÔNG T3'!F19</f>
        <v>1.5</v>
      </c>
      <c r="P19" s="127">
        <f>'BẢNG CHẤM CÔNG T3'!G19</f>
        <v>0</v>
      </c>
      <c r="Q19" s="127">
        <f>'BẢNG CHẤM CÔNG T3'!H19</f>
        <v>23.5</v>
      </c>
      <c r="R19" s="127">
        <f>'BẢNG CHẤM CÔNG T3'!I19</f>
        <v>0</v>
      </c>
      <c r="S19" s="127">
        <f>'BẢNG CHẤM CÔNG T3'!J19</f>
        <v>0</v>
      </c>
      <c r="T19" s="127">
        <f>'BẢNG CHẤM CÔNG T3'!K19</f>
        <v>0</v>
      </c>
      <c r="U19" s="127">
        <f>'BẢNG CHẤM CÔNG T3'!L19</f>
        <v>0</v>
      </c>
      <c r="V19" s="127">
        <f>'BẢNG CHẤM CÔNG T3'!M19</f>
        <v>0</v>
      </c>
      <c r="W19" s="132">
        <f t="shared" si="4"/>
        <v>4450000</v>
      </c>
      <c r="X19" s="132">
        <f t="shared" si="5"/>
        <v>2743810.096153846</v>
      </c>
      <c r="Y19" s="132">
        <f t="shared" si="6"/>
        <v>57764.423076923085</v>
      </c>
      <c r="Z19" s="132">
        <f t="shared" si="7"/>
        <v>1005528.8461538461</v>
      </c>
      <c r="AA19" s="132">
        <f t="shared" si="8"/>
        <v>500000</v>
      </c>
      <c r="AB19" s="132">
        <f t="shared" si="9"/>
        <v>250000</v>
      </c>
      <c r="AC19" s="132">
        <f t="shared" si="10"/>
        <v>0</v>
      </c>
      <c r="AD19" s="132">
        <f t="shared" si="11"/>
        <v>0</v>
      </c>
      <c r="AE19" s="132">
        <f t="shared" si="16"/>
        <v>300000</v>
      </c>
      <c r="AF19" s="132">
        <f t="shared" si="17"/>
        <v>500000</v>
      </c>
      <c r="AG19" s="132"/>
      <c r="AH19" s="197">
        <f t="shared" si="18"/>
        <v>9807103.365384616</v>
      </c>
      <c r="AI19" s="132"/>
      <c r="AJ19" s="132"/>
      <c r="AK19" s="132"/>
      <c r="AL19" s="132">
        <v>11000000</v>
      </c>
      <c r="AM19" s="132">
        <f t="shared" si="12"/>
        <v>0</v>
      </c>
      <c r="AN19" s="132">
        <f t="shared" si="19"/>
        <v>12443040.865384616</v>
      </c>
      <c r="AO19" s="132">
        <f t="shared" si="13"/>
        <v>-2635937.5</v>
      </c>
      <c r="AP19" s="204">
        <f t="shared" si="14"/>
        <v>0</v>
      </c>
      <c r="AQ19" s="132">
        <f t="shared" si="1"/>
        <v>0</v>
      </c>
      <c r="AR19" s="132"/>
      <c r="AS19" s="132"/>
      <c r="AT19" s="197">
        <f t="shared" si="15"/>
        <v>0</v>
      </c>
      <c r="AU19" s="200">
        <f t="shared" si="2"/>
        <v>9807103.365384616</v>
      </c>
    </row>
    <row r="20" spans="1:49" ht="15.75" x14ac:dyDescent="0.25">
      <c r="A20" s="199">
        <v>12</v>
      </c>
      <c r="B20" s="72" t="s">
        <v>56</v>
      </c>
      <c r="C20" s="73" t="s">
        <v>57</v>
      </c>
      <c r="D20" s="72">
        <v>26</v>
      </c>
      <c r="E20" s="131">
        <f t="shared" si="3"/>
        <v>6000000</v>
      </c>
      <c r="F20" s="126">
        <v>4450000</v>
      </c>
      <c r="G20" s="126">
        <v>500000</v>
      </c>
      <c r="H20" s="126">
        <v>250000</v>
      </c>
      <c r="I20" s="126"/>
      <c r="J20" s="126"/>
      <c r="K20" s="126">
        <v>300000</v>
      </c>
      <c r="L20" s="126">
        <v>500000</v>
      </c>
      <c r="M20" s="127">
        <f>'BẢNG CHẤM CÔNG T3'!D20</f>
        <v>24</v>
      </c>
      <c r="N20" s="127">
        <f>'BẢNG CHẤM CÔNG T3'!E20</f>
        <v>23</v>
      </c>
      <c r="O20" s="127">
        <f>'BẢNG CHẤM CÔNG T3'!F20</f>
        <v>0</v>
      </c>
      <c r="P20" s="127">
        <f>'BẢNG CHẤM CÔNG T3'!G20</f>
        <v>0</v>
      </c>
      <c r="Q20" s="127">
        <f>'BẢNG CHẤM CÔNG T3'!H20</f>
        <v>8</v>
      </c>
      <c r="R20" s="127">
        <f>'BẢNG CHẤM CÔNG T3'!I20</f>
        <v>0</v>
      </c>
      <c r="S20" s="127">
        <f>'BẢNG CHẤM CÔNG T3'!J20</f>
        <v>2</v>
      </c>
      <c r="T20" s="127">
        <f>'BẢNG CHẤM CÔNG T3'!K20</f>
        <v>0</v>
      </c>
      <c r="U20" s="127">
        <f>'BẢNG CHẤM CÔNG T3'!L20</f>
        <v>0</v>
      </c>
      <c r="V20" s="127">
        <f>'BẢNG CHẤM CÔNG T3'!M20</f>
        <v>0</v>
      </c>
      <c r="W20" s="132">
        <f t="shared" si="4"/>
        <v>4107692.307692308</v>
      </c>
      <c r="X20" s="132">
        <f t="shared" si="5"/>
        <v>738100.9615384615</v>
      </c>
      <c r="Y20" s="132">
        <f t="shared" si="6"/>
        <v>0</v>
      </c>
      <c r="Z20" s="132">
        <f t="shared" si="7"/>
        <v>342307.69230769231</v>
      </c>
      <c r="AA20" s="132">
        <f t="shared" si="8"/>
        <v>461538.4615384615</v>
      </c>
      <c r="AB20" s="132">
        <f t="shared" si="9"/>
        <v>230769.23076923075</v>
      </c>
      <c r="AC20" s="132">
        <f t="shared" si="10"/>
        <v>0</v>
      </c>
      <c r="AD20" s="132">
        <f t="shared" si="11"/>
        <v>0</v>
      </c>
      <c r="AE20" s="132">
        <f t="shared" si="16"/>
        <v>276923.07692307694</v>
      </c>
      <c r="AF20" s="132">
        <f t="shared" si="17"/>
        <v>461538.4615384615</v>
      </c>
      <c r="AG20" s="132">
        <v>570012.01923076925</v>
      </c>
      <c r="AH20" s="197">
        <f t="shared" si="18"/>
        <v>7188882.2115384629</v>
      </c>
      <c r="AI20" s="132"/>
      <c r="AJ20" s="132"/>
      <c r="AK20" s="132"/>
      <c r="AL20" s="132">
        <v>11000000</v>
      </c>
      <c r="AM20" s="132">
        <f t="shared" si="12"/>
        <v>0</v>
      </c>
      <c r="AN20" s="132">
        <f t="shared" si="19"/>
        <v>11417187.5</v>
      </c>
      <c r="AO20" s="132">
        <f t="shared" si="13"/>
        <v>-4228305.2884615371</v>
      </c>
      <c r="AP20" s="204">
        <f t="shared" si="14"/>
        <v>0</v>
      </c>
      <c r="AQ20" s="132">
        <f t="shared" si="1"/>
        <v>0</v>
      </c>
      <c r="AR20" s="132"/>
      <c r="AS20" s="132"/>
      <c r="AT20" s="197">
        <f t="shared" si="15"/>
        <v>0</v>
      </c>
      <c r="AU20" s="200">
        <f t="shared" si="2"/>
        <v>7188882.2115384629</v>
      </c>
    </row>
    <row r="21" spans="1:49" ht="15.75" x14ac:dyDescent="0.25">
      <c r="A21" s="199">
        <v>13</v>
      </c>
      <c r="B21" s="72" t="s">
        <v>58</v>
      </c>
      <c r="C21" s="73" t="s">
        <v>59</v>
      </c>
      <c r="D21" s="72">
        <v>26</v>
      </c>
      <c r="E21" s="131">
        <f t="shared" si="3"/>
        <v>6000000</v>
      </c>
      <c r="F21" s="126">
        <v>4450000</v>
      </c>
      <c r="G21" s="126">
        <v>500000</v>
      </c>
      <c r="H21" s="126">
        <v>250000</v>
      </c>
      <c r="I21" s="126"/>
      <c r="J21" s="126"/>
      <c r="K21" s="126">
        <v>300000</v>
      </c>
      <c r="L21" s="126">
        <v>500000</v>
      </c>
      <c r="M21" s="127">
        <f>'BẢNG CHẤM CÔNG T3'!D21</f>
        <v>25</v>
      </c>
      <c r="N21" s="127">
        <f>'BẢNG CHẤM CÔNG T3'!E21</f>
        <v>49.5</v>
      </c>
      <c r="O21" s="127">
        <f>'BẢNG CHẤM CÔNG T3'!F21</f>
        <v>0</v>
      </c>
      <c r="P21" s="127">
        <f>'BẢNG CHẤM CÔNG T3'!G21</f>
        <v>0</v>
      </c>
      <c r="Q21" s="127">
        <f>'BẢNG CHẤM CÔNG T3'!H21</f>
        <v>14</v>
      </c>
      <c r="R21" s="127">
        <f>'BẢNG CHẤM CÔNG T3'!I21</f>
        <v>0</v>
      </c>
      <c r="S21" s="127">
        <f>'BẢNG CHẤM CÔNG T3'!J21</f>
        <v>0</v>
      </c>
      <c r="T21" s="127">
        <f>'BẢNG CHẤM CÔNG T3'!K21</f>
        <v>0</v>
      </c>
      <c r="U21" s="127">
        <f>'BẢNG CHẤM CÔNG T3'!L21</f>
        <v>0</v>
      </c>
      <c r="V21" s="127">
        <f>'BẢNG CHẤM CÔNG T3'!M21</f>
        <v>0</v>
      </c>
      <c r="W21" s="132">
        <f t="shared" si="4"/>
        <v>4278846.153846154</v>
      </c>
      <c r="X21" s="132">
        <f t="shared" si="5"/>
        <v>1588521.6346153845</v>
      </c>
      <c r="Y21" s="132">
        <f t="shared" si="6"/>
        <v>0</v>
      </c>
      <c r="Z21" s="132">
        <f t="shared" si="7"/>
        <v>599038.4615384615</v>
      </c>
      <c r="AA21" s="132">
        <f t="shared" si="8"/>
        <v>480769.23076923075</v>
      </c>
      <c r="AB21" s="132">
        <f t="shared" si="9"/>
        <v>240384.61538461538</v>
      </c>
      <c r="AC21" s="132">
        <f t="shared" si="10"/>
        <v>0</v>
      </c>
      <c r="AD21" s="132">
        <f t="shared" si="11"/>
        <v>0</v>
      </c>
      <c r="AE21" s="132">
        <f t="shared" si="16"/>
        <v>288461.5384615385</v>
      </c>
      <c r="AF21" s="132">
        <f t="shared" si="17"/>
        <v>480769.23076923075</v>
      </c>
      <c r="AG21" s="132"/>
      <c r="AH21" s="197">
        <f t="shared" si="18"/>
        <v>7956790.865384615</v>
      </c>
      <c r="AI21" s="132"/>
      <c r="AJ21" s="132"/>
      <c r="AK21" s="132"/>
      <c r="AL21" s="132">
        <v>11000000</v>
      </c>
      <c r="AM21" s="132">
        <f t="shared" si="12"/>
        <v>0</v>
      </c>
      <c r="AN21" s="132">
        <f t="shared" si="19"/>
        <v>11829026.442307692</v>
      </c>
      <c r="AO21" s="132">
        <f t="shared" si="13"/>
        <v>-3872235.576923077</v>
      </c>
      <c r="AP21" s="204">
        <f t="shared" si="14"/>
        <v>0</v>
      </c>
      <c r="AQ21" s="132">
        <f t="shared" si="1"/>
        <v>0</v>
      </c>
      <c r="AR21" s="132"/>
      <c r="AS21" s="132"/>
      <c r="AT21" s="197">
        <f t="shared" si="15"/>
        <v>0</v>
      </c>
      <c r="AU21" s="200">
        <f t="shared" si="2"/>
        <v>7956790.865384615</v>
      </c>
    </row>
    <row r="22" spans="1:49" ht="15.75" x14ac:dyDescent="0.25">
      <c r="A22" s="199">
        <v>14</v>
      </c>
      <c r="B22" s="72" t="s">
        <v>60</v>
      </c>
      <c r="C22" s="73" t="s">
        <v>61</v>
      </c>
      <c r="D22" s="72">
        <v>26</v>
      </c>
      <c r="E22" s="131">
        <f t="shared" si="3"/>
        <v>5700000</v>
      </c>
      <c r="F22" s="126">
        <v>4450000</v>
      </c>
      <c r="G22" s="126">
        <v>500000</v>
      </c>
      <c r="H22" s="126">
        <v>250000</v>
      </c>
      <c r="I22" s="126"/>
      <c r="J22" s="126"/>
      <c r="K22" s="126"/>
      <c r="L22" s="126">
        <v>500000</v>
      </c>
      <c r="M22" s="127">
        <f>'BẢNG CHẤM CÔNG T3'!D22</f>
        <v>20</v>
      </c>
      <c r="N22" s="127">
        <f>'BẢNG CHẤM CÔNG T3'!E22</f>
        <v>38.5</v>
      </c>
      <c r="O22" s="127">
        <f>'BẢNG CHẤM CÔNG T3'!F22</f>
        <v>0</v>
      </c>
      <c r="P22" s="127">
        <f>'BẢNG CHẤM CÔNG T3'!G22</f>
        <v>2</v>
      </c>
      <c r="Q22" s="127">
        <f>'BẢNG CHẤM CÔNG T3'!H22</f>
        <v>8.5</v>
      </c>
      <c r="R22" s="127">
        <f>'BẢNG CHẤM CÔNG T3'!I22</f>
        <v>0</v>
      </c>
      <c r="S22" s="127">
        <f>'BẢNG CHẤM CÔNG T3'!J22</f>
        <v>3</v>
      </c>
      <c r="T22" s="127">
        <f>'BẢNG CHẤM CÔNG T3'!K22</f>
        <v>0</v>
      </c>
      <c r="U22" s="127">
        <f>'BẢNG CHẤM CÔNG T3'!L22</f>
        <v>1</v>
      </c>
      <c r="V22" s="127">
        <f>'BẢNG CHẤM CÔNG T3'!M22</f>
        <v>0</v>
      </c>
      <c r="W22" s="132">
        <f t="shared" si="4"/>
        <v>3423076.923076923</v>
      </c>
      <c r="X22" s="132">
        <f t="shared" si="5"/>
        <v>1235516.826923077</v>
      </c>
      <c r="Y22" s="132">
        <f t="shared" si="6"/>
        <v>0</v>
      </c>
      <c r="Z22" s="132">
        <f t="shared" si="7"/>
        <v>363701.92307692306</v>
      </c>
      <c r="AA22" s="132">
        <f t="shared" si="8"/>
        <v>384615.38461538462</v>
      </c>
      <c r="AB22" s="132">
        <f t="shared" si="9"/>
        <v>192307.69230769231</v>
      </c>
      <c r="AC22" s="132">
        <f t="shared" si="10"/>
        <v>0</v>
      </c>
      <c r="AD22" s="132">
        <f t="shared" si="11"/>
        <v>0</v>
      </c>
      <c r="AE22" s="132">
        <f>K22/D22*M22</f>
        <v>0</v>
      </c>
      <c r="AF22" s="132">
        <f t="shared" si="17"/>
        <v>384615.38461538462</v>
      </c>
      <c r="AG22" s="132"/>
      <c r="AH22" s="197">
        <f t="shared" si="18"/>
        <v>5983834.134615385</v>
      </c>
      <c r="AI22" s="132"/>
      <c r="AJ22" s="132"/>
      <c r="AK22" s="132"/>
      <c r="AL22" s="132">
        <v>11000000</v>
      </c>
      <c r="AM22" s="132">
        <f t="shared" si="12"/>
        <v>0</v>
      </c>
      <c r="AN22" s="132">
        <f t="shared" si="19"/>
        <v>11593689.903846154</v>
      </c>
      <c r="AO22" s="132">
        <f t="shared" si="13"/>
        <v>-5609855.769230769</v>
      </c>
      <c r="AP22" s="204">
        <f t="shared" si="14"/>
        <v>0</v>
      </c>
      <c r="AQ22" s="132">
        <f t="shared" si="1"/>
        <v>42788.461538461539</v>
      </c>
      <c r="AR22" s="132"/>
      <c r="AS22" s="132"/>
      <c r="AT22" s="197">
        <f t="shared" si="15"/>
        <v>42788.461538461539</v>
      </c>
      <c r="AU22" s="200">
        <f t="shared" si="2"/>
        <v>5941045.673076923</v>
      </c>
    </row>
    <row r="23" spans="1:49" ht="15.75" x14ac:dyDescent="0.25">
      <c r="A23" s="199">
        <v>15</v>
      </c>
      <c r="B23" s="72" t="s">
        <v>62</v>
      </c>
      <c r="C23" s="73" t="s">
        <v>63</v>
      </c>
      <c r="D23" s="72">
        <v>26</v>
      </c>
      <c r="E23" s="131">
        <f t="shared" si="3"/>
        <v>7800000</v>
      </c>
      <c r="F23" s="126">
        <v>4450000</v>
      </c>
      <c r="G23" s="126">
        <v>500000</v>
      </c>
      <c r="H23" s="126">
        <v>250000</v>
      </c>
      <c r="I23" s="126">
        <v>300000</v>
      </c>
      <c r="J23" s="126"/>
      <c r="K23" s="126">
        <v>500000</v>
      </c>
      <c r="L23" s="126">
        <v>1800000</v>
      </c>
      <c r="M23" s="127">
        <f>'BẢNG CHẤM CÔNG T3'!D23</f>
        <v>26</v>
      </c>
      <c r="N23" s="127">
        <f>'BẢNG CHẤM CÔNG T3'!E23</f>
        <v>85.5</v>
      </c>
      <c r="O23" s="127">
        <f>'BẢNG CHẤM CÔNG T3'!F23</f>
        <v>2</v>
      </c>
      <c r="P23" s="127">
        <f>'BẢNG CHẤM CÔNG T3'!G23</f>
        <v>0</v>
      </c>
      <c r="Q23" s="127">
        <f>'BẢNG CHẤM CÔNG T3'!H23</f>
        <v>8.5</v>
      </c>
      <c r="R23" s="127">
        <f>'BẢNG CHẤM CÔNG T3'!I23</f>
        <v>0</v>
      </c>
      <c r="S23" s="127">
        <f>'BẢNG CHẤM CÔNG T3'!J23</f>
        <v>0</v>
      </c>
      <c r="T23" s="127">
        <f>'BẢNG CHẤM CÔNG T3'!K23</f>
        <v>0</v>
      </c>
      <c r="U23" s="127">
        <f>'BẢNG CHẤM CÔNG T3'!L23</f>
        <v>0</v>
      </c>
      <c r="V23" s="127">
        <f>'BẢNG CHẤM CÔNG T3'!M23</f>
        <v>0</v>
      </c>
      <c r="W23" s="132">
        <f t="shared" si="4"/>
        <v>4450000</v>
      </c>
      <c r="X23" s="132">
        <f t="shared" si="5"/>
        <v>2743810.096153846</v>
      </c>
      <c r="Y23" s="132">
        <f t="shared" si="6"/>
        <v>77019.230769230766</v>
      </c>
      <c r="Z23" s="132">
        <f t="shared" si="7"/>
        <v>363701.92307692306</v>
      </c>
      <c r="AA23" s="132">
        <f t="shared" si="8"/>
        <v>500000</v>
      </c>
      <c r="AB23" s="132">
        <f t="shared" si="9"/>
        <v>250000</v>
      </c>
      <c r="AC23" s="132">
        <f t="shared" si="10"/>
        <v>300000</v>
      </c>
      <c r="AD23" s="132">
        <f t="shared" si="11"/>
        <v>0</v>
      </c>
      <c r="AE23" s="132">
        <f t="shared" si="16"/>
        <v>500000</v>
      </c>
      <c r="AF23" s="132">
        <f t="shared" si="17"/>
        <v>1800000</v>
      </c>
      <c r="AG23" s="132"/>
      <c r="AH23" s="197">
        <f t="shared" si="18"/>
        <v>10984531.25</v>
      </c>
      <c r="AI23" s="132"/>
      <c r="AJ23" s="132"/>
      <c r="AK23" s="132"/>
      <c r="AL23" s="132">
        <v>11000000</v>
      </c>
      <c r="AM23" s="132">
        <f t="shared" si="12"/>
        <v>0</v>
      </c>
      <c r="AN23" s="132">
        <f t="shared" si="19"/>
        <v>12130685.096153846</v>
      </c>
      <c r="AO23" s="132">
        <f t="shared" si="13"/>
        <v>-1146153.846153846</v>
      </c>
      <c r="AP23" s="204">
        <f t="shared" si="14"/>
        <v>0</v>
      </c>
      <c r="AQ23" s="132">
        <f t="shared" si="1"/>
        <v>0</v>
      </c>
      <c r="AR23" s="132"/>
      <c r="AS23" s="132"/>
      <c r="AT23" s="197">
        <f t="shared" si="15"/>
        <v>0</v>
      </c>
      <c r="AU23" s="200">
        <f t="shared" si="2"/>
        <v>10984531.25</v>
      </c>
    </row>
    <row r="24" spans="1:49" ht="15.75" x14ac:dyDescent="0.25">
      <c r="A24" s="199">
        <v>16</v>
      </c>
      <c r="B24" s="72" t="s">
        <v>64</v>
      </c>
      <c r="C24" s="73" t="s">
        <v>506</v>
      </c>
      <c r="D24" s="72">
        <v>26</v>
      </c>
      <c r="E24" s="131">
        <f t="shared" si="3"/>
        <v>6000000</v>
      </c>
      <c r="F24" s="126">
        <v>4450000</v>
      </c>
      <c r="G24" s="126">
        <v>500000</v>
      </c>
      <c r="H24" s="126">
        <v>250000</v>
      </c>
      <c r="I24" s="126"/>
      <c r="J24" s="126"/>
      <c r="K24" s="126">
        <v>300000</v>
      </c>
      <c r="L24" s="126">
        <v>500000</v>
      </c>
      <c r="M24" s="127">
        <f>'BẢNG CHẤM CÔNG T3'!D24</f>
        <v>21.5</v>
      </c>
      <c r="N24" s="127">
        <f>'BẢNG CHẤM CÔNG T3'!E24</f>
        <v>62.5</v>
      </c>
      <c r="O24" s="127">
        <f>'BẢNG CHẤM CÔNG T3'!F24</f>
        <v>2</v>
      </c>
      <c r="P24" s="127">
        <f>'BẢNG CHẤM CÔNG T3'!G24</f>
        <v>0.36666666666666664</v>
      </c>
      <c r="Q24" s="127">
        <f>'BẢNG CHẤM CÔNG T3'!H24</f>
        <v>8.5</v>
      </c>
      <c r="R24" s="127">
        <f>'BẢNG CHẤM CÔNG T3'!I24</f>
        <v>0</v>
      </c>
      <c r="S24" s="127">
        <f>'BẢNG CHẤM CÔNG T3'!J24</f>
        <v>3</v>
      </c>
      <c r="T24" s="127">
        <f>'BẢNG CHẤM CÔNG T3'!K24</f>
        <v>0</v>
      </c>
      <c r="U24" s="127">
        <f>'BẢNG CHẤM CÔNG T3'!L24</f>
        <v>0</v>
      </c>
      <c r="V24" s="127">
        <f>'BẢNG CHẤM CÔNG T3'!M24</f>
        <v>0</v>
      </c>
      <c r="W24" s="132">
        <f t="shared" si="4"/>
        <v>3679807.6923076925</v>
      </c>
      <c r="X24" s="132">
        <f t="shared" si="5"/>
        <v>2005709.1346153845</v>
      </c>
      <c r="Y24" s="132">
        <f t="shared" si="6"/>
        <v>77019.230769230766</v>
      </c>
      <c r="Z24" s="132">
        <f t="shared" si="7"/>
        <v>363701.92307692306</v>
      </c>
      <c r="AA24" s="132">
        <f t="shared" si="8"/>
        <v>413461.53846153844</v>
      </c>
      <c r="AB24" s="132">
        <f t="shared" si="9"/>
        <v>206730.76923076922</v>
      </c>
      <c r="AC24" s="132">
        <f t="shared" si="10"/>
        <v>0</v>
      </c>
      <c r="AD24" s="132">
        <f t="shared" si="11"/>
        <v>0</v>
      </c>
      <c r="AE24" s="132">
        <f t="shared" si="16"/>
        <v>248076.92307692309</v>
      </c>
      <c r="AF24" s="132">
        <f t="shared" si="17"/>
        <v>413461.53846153844</v>
      </c>
      <c r="AG24" s="132"/>
      <c r="AH24" s="197">
        <f t="shared" si="18"/>
        <v>7407968.7499999991</v>
      </c>
      <c r="AI24" s="132"/>
      <c r="AJ24" s="132"/>
      <c r="AK24" s="132"/>
      <c r="AL24" s="132">
        <v>11000000</v>
      </c>
      <c r="AM24" s="132">
        <f t="shared" si="12"/>
        <v>0</v>
      </c>
      <c r="AN24" s="132">
        <f t="shared" si="19"/>
        <v>11884651.442307692</v>
      </c>
      <c r="AO24" s="132">
        <f t="shared" si="13"/>
        <v>-4476682.692307693</v>
      </c>
      <c r="AP24" s="204">
        <f t="shared" si="14"/>
        <v>0</v>
      </c>
      <c r="AQ24" s="132">
        <f t="shared" si="1"/>
        <v>7844.5512820512813</v>
      </c>
      <c r="AR24" s="132"/>
      <c r="AS24" s="132">
        <v>150000</v>
      </c>
      <c r="AT24" s="197">
        <f t="shared" si="15"/>
        <v>157844.55128205128</v>
      </c>
      <c r="AU24" s="200">
        <f t="shared" si="2"/>
        <v>7250124.198717948</v>
      </c>
    </row>
    <row r="25" spans="1:49" ht="15.75" x14ac:dyDescent="0.25">
      <c r="A25" s="199">
        <v>17</v>
      </c>
      <c r="B25" s="72" t="s">
        <v>66</v>
      </c>
      <c r="C25" s="73" t="s">
        <v>464</v>
      </c>
      <c r="D25" s="72">
        <v>26</v>
      </c>
      <c r="E25" s="131">
        <f t="shared" si="3"/>
        <v>7000000</v>
      </c>
      <c r="F25" s="126">
        <v>4450000</v>
      </c>
      <c r="G25" s="126">
        <v>500000</v>
      </c>
      <c r="H25" s="126">
        <v>250000</v>
      </c>
      <c r="I25" s="126">
        <v>300000</v>
      </c>
      <c r="J25" s="126"/>
      <c r="K25" s="126">
        <v>500000</v>
      </c>
      <c r="L25" s="126">
        <v>1000000</v>
      </c>
      <c r="M25" s="127">
        <f>'BẢNG CHẤM CÔNG T3'!D25</f>
        <v>23.5</v>
      </c>
      <c r="N25" s="127">
        <f>'BẢNG CHẤM CÔNG T3'!E25</f>
        <v>65</v>
      </c>
      <c r="O25" s="127">
        <f>'BẢNG CHẤM CÔNG T3'!F25</f>
        <v>2</v>
      </c>
      <c r="P25" s="127">
        <f>'BẢNG CHẤM CÔNG T3'!G25</f>
        <v>0.36666666666666664</v>
      </c>
      <c r="Q25" s="127">
        <f>'BẢNG CHẤM CÔNG T3'!H25</f>
        <v>0</v>
      </c>
      <c r="R25" s="127">
        <f>'BẢNG CHẤM CÔNG T3'!I25</f>
        <v>0</v>
      </c>
      <c r="S25" s="127">
        <f>'BẢNG CHẤM CÔNG T3'!J25</f>
        <v>1</v>
      </c>
      <c r="T25" s="127">
        <f>'BẢNG CHẤM CÔNG T3'!K25</f>
        <v>0</v>
      </c>
      <c r="U25" s="127">
        <f>'BẢNG CHẤM CÔNG T3'!L25</f>
        <v>0</v>
      </c>
      <c r="V25" s="127">
        <f>'BẢNG CHẤM CÔNG T3'!M25</f>
        <v>0</v>
      </c>
      <c r="W25" s="132">
        <f t="shared" si="4"/>
        <v>4022115.3846153845</v>
      </c>
      <c r="X25" s="132">
        <f t="shared" si="5"/>
        <v>2085937.5</v>
      </c>
      <c r="Y25" s="132">
        <f t="shared" si="6"/>
        <v>77019.230769230766</v>
      </c>
      <c r="Z25" s="132">
        <f t="shared" si="7"/>
        <v>0</v>
      </c>
      <c r="AA25" s="132">
        <f t="shared" si="8"/>
        <v>451923.07692307694</v>
      </c>
      <c r="AB25" s="132">
        <f t="shared" si="9"/>
        <v>225961.53846153847</v>
      </c>
      <c r="AC25" s="132">
        <f t="shared" si="10"/>
        <v>271153.84615384619</v>
      </c>
      <c r="AD25" s="132">
        <f t="shared" si="11"/>
        <v>0</v>
      </c>
      <c r="AE25" s="132">
        <f t="shared" si="16"/>
        <v>451923.07692307694</v>
      </c>
      <c r="AF25" s="132">
        <f t="shared" si="17"/>
        <v>903846.15384615387</v>
      </c>
      <c r="AG25" s="132"/>
      <c r="AH25" s="197">
        <f t="shared" si="18"/>
        <v>8489879.8076923061</v>
      </c>
      <c r="AI25" s="132"/>
      <c r="AJ25" s="132"/>
      <c r="AK25" s="132"/>
      <c r="AL25" s="132">
        <v>11000000</v>
      </c>
      <c r="AM25" s="132">
        <f t="shared" si="12"/>
        <v>0</v>
      </c>
      <c r="AN25" s="132">
        <f t="shared" si="19"/>
        <v>11729543.26923077</v>
      </c>
      <c r="AO25" s="132">
        <f t="shared" si="13"/>
        <v>-3239663.4615384638</v>
      </c>
      <c r="AP25" s="204">
        <f t="shared" si="14"/>
        <v>0</v>
      </c>
      <c r="AQ25" s="132">
        <f t="shared" si="1"/>
        <v>7844.5512820512813</v>
      </c>
      <c r="AR25" s="132"/>
      <c r="AS25" s="132"/>
      <c r="AT25" s="197">
        <f t="shared" si="15"/>
        <v>7844.5512820512813</v>
      </c>
      <c r="AU25" s="200">
        <f t="shared" si="2"/>
        <v>8482035.2564102542</v>
      </c>
    </row>
    <row r="26" spans="1:49" ht="15.75" x14ac:dyDescent="0.25">
      <c r="A26" s="199">
        <v>18</v>
      </c>
      <c r="B26" s="72" t="s">
        <v>68</v>
      </c>
      <c r="C26" s="73" t="s">
        <v>69</v>
      </c>
      <c r="D26" s="72">
        <v>26</v>
      </c>
      <c r="E26" s="131">
        <f t="shared" si="3"/>
        <v>6000000</v>
      </c>
      <c r="F26" s="126">
        <v>4450000</v>
      </c>
      <c r="G26" s="126">
        <v>500000</v>
      </c>
      <c r="H26" s="126">
        <v>250000</v>
      </c>
      <c r="I26" s="126"/>
      <c r="J26" s="126"/>
      <c r="K26" s="126">
        <v>300000</v>
      </c>
      <c r="L26" s="126">
        <v>500000</v>
      </c>
      <c r="M26" s="127">
        <f>'BẢNG CHẤM CÔNG T3'!D26</f>
        <v>24</v>
      </c>
      <c r="N26" s="127">
        <f>'BẢNG CHẤM CÔNG T3'!E26</f>
        <v>67.5</v>
      </c>
      <c r="O26" s="127">
        <f>'BẢNG CHẤM CÔNG T3'!F26</f>
        <v>1.5</v>
      </c>
      <c r="P26" s="127">
        <f>'BẢNG CHẤM CÔNG T3'!G26</f>
        <v>0</v>
      </c>
      <c r="Q26" s="127">
        <f>'BẢNG CHẤM CÔNG T3'!H26</f>
        <v>0</v>
      </c>
      <c r="R26" s="127">
        <f>'BẢNG CHẤM CÔNG T3'!I26</f>
        <v>0</v>
      </c>
      <c r="S26" s="127">
        <f>'BẢNG CHẤM CÔNG T3'!J26</f>
        <v>1</v>
      </c>
      <c r="T26" s="127">
        <f>'BẢNG CHẤM CÔNG T3'!K26</f>
        <v>0</v>
      </c>
      <c r="U26" s="127">
        <f>'BẢNG CHẤM CÔNG T3'!L26</f>
        <v>0</v>
      </c>
      <c r="V26" s="127">
        <f>'BẢNG CHẤM CÔNG T3'!M26</f>
        <v>0</v>
      </c>
      <c r="W26" s="132">
        <f t="shared" si="4"/>
        <v>4107692.307692308</v>
      </c>
      <c r="X26" s="132">
        <f t="shared" si="5"/>
        <v>2166165.8653846155</v>
      </c>
      <c r="Y26" s="132">
        <f t="shared" si="6"/>
        <v>57764.423076923085</v>
      </c>
      <c r="Z26" s="132">
        <f t="shared" si="7"/>
        <v>0</v>
      </c>
      <c r="AA26" s="132">
        <f t="shared" si="8"/>
        <v>461538.4615384615</v>
      </c>
      <c r="AB26" s="132">
        <f t="shared" si="9"/>
        <v>230769.23076923075</v>
      </c>
      <c r="AC26" s="132">
        <f t="shared" si="10"/>
        <v>0</v>
      </c>
      <c r="AD26" s="132">
        <f t="shared" si="11"/>
        <v>0</v>
      </c>
      <c r="AE26" s="132">
        <f t="shared" si="16"/>
        <v>276923.07692307694</v>
      </c>
      <c r="AF26" s="132">
        <f t="shared" si="17"/>
        <v>461538.4615384615</v>
      </c>
      <c r="AG26" s="132"/>
      <c r="AH26" s="197">
        <f t="shared" si="18"/>
        <v>7762391.8269230779</v>
      </c>
      <c r="AI26" s="132"/>
      <c r="AJ26" s="132"/>
      <c r="AK26" s="132"/>
      <c r="AL26" s="132">
        <v>11000000</v>
      </c>
      <c r="AM26" s="132">
        <f t="shared" si="12"/>
        <v>0</v>
      </c>
      <c r="AN26" s="132">
        <f t="shared" si="19"/>
        <v>11747728.365384616</v>
      </c>
      <c r="AO26" s="132">
        <f t="shared" si="13"/>
        <v>-3985336.538461538</v>
      </c>
      <c r="AP26" s="204">
        <f t="shared" si="14"/>
        <v>0</v>
      </c>
      <c r="AQ26" s="132">
        <f t="shared" si="1"/>
        <v>0</v>
      </c>
      <c r="AR26" s="132"/>
      <c r="AS26" s="132"/>
      <c r="AT26" s="197">
        <f t="shared" si="15"/>
        <v>0</v>
      </c>
      <c r="AU26" s="200">
        <f t="shared" si="2"/>
        <v>7762391.8269230779</v>
      </c>
    </row>
    <row r="27" spans="1:49" ht="15.75" x14ac:dyDescent="0.25">
      <c r="A27" s="199">
        <v>19</v>
      </c>
      <c r="B27" s="72" t="s">
        <v>70</v>
      </c>
      <c r="C27" s="73" t="s">
        <v>71</v>
      </c>
      <c r="D27" s="72">
        <v>26</v>
      </c>
      <c r="E27" s="131">
        <f t="shared" si="3"/>
        <v>6000000</v>
      </c>
      <c r="F27" s="126">
        <v>4450000</v>
      </c>
      <c r="G27" s="126">
        <v>500000</v>
      </c>
      <c r="H27" s="126">
        <v>250000</v>
      </c>
      <c r="I27" s="126"/>
      <c r="J27" s="126"/>
      <c r="K27" s="126">
        <v>300000</v>
      </c>
      <c r="L27" s="126">
        <v>500000</v>
      </c>
      <c r="M27" s="127">
        <f>'BẢNG CHẤM CÔNG T3'!D27</f>
        <v>23</v>
      </c>
      <c r="N27" s="127">
        <f>'BẢNG CHẤM CÔNG T3'!E27</f>
        <v>79</v>
      </c>
      <c r="O27" s="127">
        <f>'BẢNG CHẤM CÔNG T3'!F27</f>
        <v>0</v>
      </c>
      <c r="P27" s="127">
        <f>'BẢNG CHẤM CÔNG T3'!G27</f>
        <v>0</v>
      </c>
      <c r="Q27" s="127">
        <f>'BẢNG CHẤM CÔNG T3'!H27</f>
        <v>32.5</v>
      </c>
      <c r="R27" s="127">
        <f>'BẢNG CHẤM CÔNG T3'!I27</f>
        <v>0</v>
      </c>
      <c r="S27" s="127">
        <f>'BẢNG CHẤM CÔNG T3'!J27</f>
        <v>1</v>
      </c>
      <c r="T27" s="127">
        <f>'BẢNG CHẤM CÔNG T3'!K27</f>
        <v>0</v>
      </c>
      <c r="U27" s="127">
        <f>'BẢNG CHẤM CÔNG T3'!L27</f>
        <v>0</v>
      </c>
      <c r="V27" s="127">
        <f>'BẢNG CHẤM CÔNG T3'!M27</f>
        <v>0</v>
      </c>
      <c r="W27" s="132">
        <f t="shared" si="4"/>
        <v>3936538.4615384615</v>
      </c>
      <c r="X27" s="132">
        <f t="shared" si="5"/>
        <v>2535216.346153846</v>
      </c>
      <c r="Y27" s="132">
        <f t="shared" si="6"/>
        <v>0</v>
      </c>
      <c r="Z27" s="132">
        <f t="shared" si="7"/>
        <v>1390625</v>
      </c>
      <c r="AA27" s="132">
        <f t="shared" si="8"/>
        <v>442307.69230769231</v>
      </c>
      <c r="AB27" s="132">
        <f t="shared" si="9"/>
        <v>221153.84615384616</v>
      </c>
      <c r="AC27" s="132">
        <f t="shared" si="10"/>
        <v>0</v>
      </c>
      <c r="AD27" s="132">
        <f t="shared" si="11"/>
        <v>0</v>
      </c>
      <c r="AE27" s="132">
        <f t="shared" si="16"/>
        <v>265384.61538461538</v>
      </c>
      <c r="AF27" s="132">
        <f t="shared" si="17"/>
        <v>442307.69230769231</v>
      </c>
      <c r="AG27" s="132"/>
      <c r="AH27" s="197">
        <f t="shared" si="18"/>
        <v>9233533.653846154</v>
      </c>
      <c r="AI27" s="132"/>
      <c r="AJ27" s="132"/>
      <c r="AK27" s="132"/>
      <c r="AL27" s="132">
        <v>11000000</v>
      </c>
      <c r="AM27" s="132">
        <f t="shared" si="12"/>
        <v>0</v>
      </c>
      <c r="AN27" s="132">
        <f t="shared" si="19"/>
        <v>12540384.615384616</v>
      </c>
      <c r="AO27" s="132">
        <f t="shared" si="13"/>
        <v>-3306850.961538462</v>
      </c>
      <c r="AP27" s="204">
        <f t="shared" si="14"/>
        <v>0</v>
      </c>
      <c r="AQ27" s="132">
        <f t="shared" si="1"/>
        <v>0</v>
      </c>
      <c r="AR27" s="132"/>
      <c r="AS27" s="132"/>
      <c r="AT27" s="197">
        <f t="shared" si="15"/>
        <v>0</v>
      </c>
      <c r="AU27" s="200">
        <f t="shared" si="2"/>
        <v>9233533.653846154</v>
      </c>
    </row>
    <row r="28" spans="1:49" ht="15.75" x14ac:dyDescent="0.25">
      <c r="A28" s="199">
        <v>20</v>
      </c>
      <c r="B28" s="72" t="s">
        <v>72</v>
      </c>
      <c r="C28" s="73" t="s">
        <v>73</v>
      </c>
      <c r="D28" s="72">
        <v>26</v>
      </c>
      <c r="E28" s="131">
        <f t="shared" si="3"/>
        <v>6000000</v>
      </c>
      <c r="F28" s="126">
        <v>4450000</v>
      </c>
      <c r="G28" s="126">
        <v>500000</v>
      </c>
      <c r="H28" s="126">
        <v>250000</v>
      </c>
      <c r="I28" s="126"/>
      <c r="J28" s="126"/>
      <c r="K28" s="126">
        <v>300000</v>
      </c>
      <c r="L28" s="126">
        <v>500000</v>
      </c>
      <c r="M28" s="127">
        <f>'BẢNG CHẤM CÔNG T3'!D28</f>
        <v>24</v>
      </c>
      <c r="N28" s="127">
        <f>'BẢNG CHẤM CÔNG T3'!E28</f>
        <v>69.5</v>
      </c>
      <c r="O28" s="127">
        <f>'BẢNG CHẤM CÔNG T3'!F28</f>
        <v>0</v>
      </c>
      <c r="P28" s="127">
        <f>'BẢNG CHẤM CÔNG T3'!G28</f>
        <v>0</v>
      </c>
      <c r="Q28" s="127">
        <f>'BẢNG CHẤM CÔNG T3'!H28</f>
        <v>0</v>
      </c>
      <c r="R28" s="127">
        <f>'BẢNG CHẤM CÔNG T3'!I28</f>
        <v>0</v>
      </c>
      <c r="S28" s="127">
        <f>'BẢNG CHẤM CÔNG T3'!J28</f>
        <v>0</v>
      </c>
      <c r="T28" s="127">
        <f>'BẢNG CHẤM CÔNG T3'!K28</f>
        <v>0</v>
      </c>
      <c r="U28" s="127">
        <f>'BẢNG CHẤM CÔNG T3'!L28</f>
        <v>0</v>
      </c>
      <c r="V28" s="127">
        <f>'BẢNG CHẤM CÔNG T3'!M28</f>
        <v>0</v>
      </c>
      <c r="W28" s="132">
        <f t="shared" si="4"/>
        <v>4107692.307692308</v>
      </c>
      <c r="X28" s="132">
        <f t="shared" si="5"/>
        <v>2230348.557692308</v>
      </c>
      <c r="Y28" s="132">
        <f t="shared" si="6"/>
        <v>0</v>
      </c>
      <c r="Z28" s="132">
        <f t="shared" si="7"/>
        <v>0</v>
      </c>
      <c r="AA28" s="132">
        <f t="shared" si="8"/>
        <v>461538.4615384615</v>
      </c>
      <c r="AB28" s="132">
        <f t="shared" si="9"/>
        <v>230769.23076923075</v>
      </c>
      <c r="AC28" s="132">
        <f t="shared" si="10"/>
        <v>0</v>
      </c>
      <c r="AD28" s="132">
        <f t="shared" si="11"/>
        <v>0</v>
      </c>
      <c r="AE28" s="132">
        <f t="shared" si="16"/>
        <v>276923.07692307694</v>
      </c>
      <c r="AF28" s="132">
        <f t="shared" si="17"/>
        <v>461538.4615384615</v>
      </c>
      <c r="AG28" s="132"/>
      <c r="AH28" s="197">
        <f t="shared" si="18"/>
        <v>7768810.0961538479</v>
      </c>
      <c r="AI28" s="132"/>
      <c r="AJ28" s="132"/>
      <c r="AK28" s="132"/>
      <c r="AL28" s="132">
        <v>11000000</v>
      </c>
      <c r="AM28" s="132">
        <f t="shared" si="12"/>
        <v>0</v>
      </c>
      <c r="AN28" s="132">
        <f t="shared" si="19"/>
        <v>11743449.51923077</v>
      </c>
      <c r="AO28" s="132">
        <f t="shared" si="13"/>
        <v>-3974639.4230769221</v>
      </c>
      <c r="AP28" s="204">
        <f t="shared" si="14"/>
        <v>0</v>
      </c>
      <c r="AQ28" s="132">
        <f t="shared" si="1"/>
        <v>0</v>
      </c>
      <c r="AR28" s="132"/>
      <c r="AS28" s="132"/>
      <c r="AT28" s="197">
        <f t="shared" si="15"/>
        <v>0</v>
      </c>
      <c r="AU28" s="200">
        <f t="shared" si="2"/>
        <v>7768810.0961538479</v>
      </c>
    </row>
    <row r="29" spans="1:49" ht="15.75" x14ac:dyDescent="0.25">
      <c r="A29" s="199">
        <v>21</v>
      </c>
      <c r="B29" s="72" t="s">
        <v>74</v>
      </c>
      <c r="C29" s="73" t="s">
        <v>75</v>
      </c>
      <c r="D29" s="72">
        <v>26</v>
      </c>
      <c r="E29" s="131">
        <f t="shared" si="3"/>
        <v>5700000</v>
      </c>
      <c r="F29" s="126">
        <v>4450000</v>
      </c>
      <c r="G29" s="126">
        <v>500000</v>
      </c>
      <c r="H29" s="126">
        <v>250000</v>
      </c>
      <c r="I29" s="126"/>
      <c r="J29" s="126"/>
      <c r="K29" s="126"/>
      <c r="L29" s="126">
        <v>500000</v>
      </c>
      <c r="M29" s="127">
        <f>'BẢNG CHẤM CÔNG T3'!D29</f>
        <v>14</v>
      </c>
      <c r="N29" s="127">
        <f>'BẢNG CHẤM CÔNG T3'!E29</f>
        <v>29</v>
      </c>
      <c r="O29" s="127">
        <f>'BẢNG CHẤM CÔNG T3'!F29</f>
        <v>0</v>
      </c>
      <c r="P29" s="127">
        <f>'BẢNG CHẤM CÔNG T3'!G29</f>
        <v>0.5</v>
      </c>
      <c r="Q29" s="127">
        <f>'BẢNG CHẤM CÔNG T3'!H29</f>
        <v>16</v>
      </c>
      <c r="R29" s="127">
        <f>'BẢNG CHẤM CÔNG T3'!I29</f>
        <v>0</v>
      </c>
      <c r="S29" s="127">
        <f>'BẢNG CHẤM CÔNG T3'!J29</f>
        <v>1</v>
      </c>
      <c r="T29" s="127">
        <f>'BẢNG CHẤM CÔNG T3'!K29</f>
        <v>0</v>
      </c>
      <c r="U29" s="127">
        <f>'BẢNG CHẤM CÔNG T3'!L29</f>
        <v>0</v>
      </c>
      <c r="V29" s="127">
        <f>'BẢNG CHẤM CÔNG T3'!M29</f>
        <v>0</v>
      </c>
      <c r="W29" s="132">
        <f t="shared" si="4"/>
        <v>2396153.846153846</v>
      </c>
      <c r="X29" s="132">
        <f t="shared" si="5"/>
        <v>930649.0384615385</v>
      </c>
      <c r="Y29" s="132">
        <f t="shared" si="6"/>
        <v>0</v>
      </c>
      <c r="Z29" s="132">
        <f t="shared" si="7"/>
        <v>684615.38461538462</v>
      </c>
      <c r="AA29" s="132">
        <f t="shared" si="8"/>
        <v>269230.76923076925</v>
      </c>
      <c r="AB29" s="132">
        <f t="shared" si="9"/>
        <v>134615.38461538462</v>
      </c>
      <c r="AC29" s="132">
        <f t="shared" si="10"/>
        <v>0</v>
      </c>
      <c r="AD29" s="132">
        <f t="shared" si="11"/>
        <v>0</v>
      </c>
      <c r="AE29" s="132">
        <f t="shared" si="16"/>
        <v>0</v>
      </c>
      <c r="AF29" s="132">
        <f t="shared" si="17"/>
        <v>269230.76923076925</v>
      </c>
      <c r="AG29" s="132"/>
      <c r="AH29" s="197">
        <f t="shared" si="18"/>
        <v>4684495.192307692</v>
      </c>
      <c r="AI29" s="132"/>
      <c r="AJ29" s="132"/>
      <c r="AK29" s="132"/>
      <c r="AL29" s="132">
        <v>11000000</v>
      </c>
      <c r="AM29" s="132">
        <f t="shared" si="12"/>
        <v>0</v>
      </c>
      <c r="AN29" s="132">
        <f t="shared" si="19"/>
        <v>11652524.038461538</v>
      </c>
      <c r="AO29" s="132">
        <f t="shared" si="13"/>
        <v>-6968028.846153846</v>
      </c>
      <c r="AP29" s="204">
        <f t="shared" si="14"/>
        <v>0</v>
      </c>
      <c r="AQ29" s="132">
        <f t="shared" si="1"/>
        <v>10697.115384615385</v>
      </c>
      <c r="AR29" s="132"/>
      <c r="AS29" s="132"/>
      <c r="AT29" s="197">
        <f t="shared" si="15"/>
        <v>10697.115384615385</v>
      </c>
      <c r="AU29" s="200">
        <f t="shared" si="2"/>
        <v>4673798.076923077</v>
      </c>
      <c r="AV29" s="188">
        <v>4629207</v>
      </c>
      <c r="AW29" s="181"/>
    </row>
    <row r="30" spans="1:49" ht="15.75" x14ac:dyDescent="0.25">
      <c r="A30" s="199">
        <v>22</v>
      </c>
      <c r="B30" s="72" t="s">
        <v>76</v>
      </c>
      <c r="C30" s="73" t="s">
        <v>77</v>
      </c>
      <c r="D30" s="72">
        <v>26</v>
      </c>
      <c r="E30" s="131">
        <f t="shared" si="3"/>
        <v>5700000</v>
      </c>
      <c r="F30" s="126">
        <v>4450000</v>
      </c>
      <c r="G30" s="126">
        <v>500000</v>
      </c>
      <c r="H30" s="126">
        <v>250000</v>
      </c>
      <c r="I30" s="126"/>
      <c r="J30" s="126"/>
      <c r="K30" s="126"/>
      <c r="L30" s="126">
        <v>500000</v>
      </c>
      <c r="M30" s="127">
        <f>'BẢNG CHẤM CÔNG T3'!D30</f>
        <v>14</v>
      </c>
      <c r="N30" s="127">
        <f>'BẢNG CHẤM CÔNG T3'!E30</f>
        <v>35</v>
      </c>
      <c r="O30" s="127">
        <f>'BẢNG CHẤM CÔNG T3'!F30</f>
        <v>0</v>
      </c>
      <c r="P30" s="127">
        <f>'BẢNG CHẤM CÔNG T3'!G30</f>
        <v>2</v>
      </c>
      <c r="Q30" s="127">
        <f>'BẢNG CHẤM CÔNG T3'!H30</f>
        <v>0</v>
      </c>
      <c r="R30" s="127">
        <f>'BẢNG CHẤM CÔNG T3'!I30</f>
        <v>0</v>
      </c>
      <c r="S30" s="127">
        <f>'BẢNG CHẤM CÔNG T3'!J30</f>
        <v>0</v>
      </c>
      <c r="T30" s="127">
        <f>'BẢNG CHẤM CÔNG T3'!K30</f>
        <v>0</v>
      </c>
      <c r="U30" s="127">
        <f>'BẢNG CHẤM CÔNG T3'!L30</f>
        <v>0</v>
      </c>
      <c r="V30" s="127">
        <f>'BẢNG CHẤM CÔNG T3'!M30</f>
        <v>0</v>
      </c>
      <c r="W30" s="132">
        <f t="shared" si="4"/>
        <v>2396153.846153846</v>
      </c>
      <c r="X30" s="132">
        <f t="shared" si="5"/>
        <v>1123197.1153846153</v>
      </c>
      <c r="Y30" s="132">
        <f t="shared" si="6"/>
        <v>0</v>
      </c>
      <c r="Z30" s="132">
        <f t="shared" si="7"/>
        <v>0</v>
      </c>
      <c r="AA30" s="132">
        <f t="shared" si="8"/>
        <v>269230.76923076925</v>
      </c>
      <c r="AB30" s="132">
        <f t="shared" si="9"/>
        <v>134615.38461538462</v>
      </c>
      <c r="AC30" s="132">
        <f t="shared" si="10"/>
        <v>0</v>
      </c>
      <c r="AD30" s="132">
        <f t="shared" si="11"/>
        <v>0</v>
      </c>
      <c r="AE30" s="132">
        <f t="shared" si="16"/>
        <v>0</v>
      </c>
      <c r="AF30" s="132">
        <f t="shared" si="17"/>
        <v>269230.76923076925</v>
      </c>
      <c r="AG30" s="132"/>
      <c r="AH30" s="197">
        <f t="shared" si="18"/>
        <v>4192427.884615384</v>
      </c>
      <c r="AI30" s="132"/>
      <c r="AJ30" s="132"/>
      <c r="AK30" s="132"/>
      <c r="AL30" s="132">
        <v>11000000</v>
      </c>
      <c r="AM30" s="132">
        <f t="shared" si="12"/>
        <v>0</v>
      </c>
      <c r="AN30" s="132">
        <f t="shared" si="19"/>
        <v>11374399.038461538</v>
      </c>
      <c r="AO30" s="132">
        <f t="shared" si="13"/>
        <v>-7181971.153846154</v>
      </c>
      <c r="AP30" s="204">
        <f t="shared" si="14"/>
        <v>0</v>
      </c>
      <c r="AQ30" s="132">
        <f t="shared" si="1"/>
        <v>42788.461538461539</v>
      </c>
      <c r="AR30" s="132"/>
      <c r="AS30" s="132"/>
      <c r="AT30" s="197">
        <f t="shared" si="15"/>
        <v>42788.461538461539</v>
      </c>
      <c r="AU30" s="200">
        <f t="shared" si="2"/>
        <v>4149639.4230769225</v>
      </c>
      <c r="AW30" s="181"/>
    </row>
    <row r="31" spans="1:49" ht="15.75" x14ac:dyDescent="0.25">
      <c r="A31" s="199">
        <v>23</v>
      </c>
      <c r="B31" s="72" t="s">
        <v>78</v>
      </c>
      <c r="C31" s="73" t="s">
        <v>79</v>
      </c>
      <c r="D31" s="72">
        <v>26</v>
      </c>
      <c r="E31" s="131">
        <f t="shared" si="3"/>
        <v>5700000</v>
      </c>
      <c r="F31" s="126">
        <v>4450000</v>
      </c>
      <c r="G31" s="126">
        <v>500000</v>
      </c>
      <c r="H31" s="126">
        <v>250000</v>
      </c>
      <c r="I31" s="126"/>
      <c r="J31" s="126"/>
      <c r="K31" s="126"/>
      <c r="L31" s="126">
        <v>500000</v>
      </c>
      <c r="M31" s="127">
        <f>'BẢNG CHẤM CÔNG T3'!D31</f>
        <v>12</v>
      </c>
      <c r="N31" s="127">
        <f>'BẢNG CHẤM CÔNG T3'!E31</f>
        <v>12.5</v>
      </c>
      <c r="O31" s="127">
        <f>'BẢNG CHẤM CÔNG T3'!F31</f>
        <v>0</v>
      </c>
      <c r="P31" s="127">
        <f>'BẢNG CHẤM CÔNG T3'!G31</f>
        <v>2.5</v>
      </c>
      <c r="Q31" s="127">
        <f>'BẢNG CHẤM CÔNG T3'!H31</f>
        <v>8</v>
      </c>
      <c r="R31" s="127">
        <f>'BẢNG CHẤM CÔNG T3'!I31</f>
        <v>0</v>
      </c>
      <c r="S31" s="127">
        <f>'BẢNG CHẤM CÔNG T3'!J31</f>
        <v>0</v>
      </c>
      <c r="T31" s="127">
        <f>'BẢNG CHẤM CÔNG T3'!K31</f>
        <v>0</v>
      </c>
      <c r="U31" s="127">
        <f>'BẢNG CHẤM CÔNG T3'!L31</f>
        <v>0</v>
      </c>
      <c r="V31" s="127">
        <f>'BẢNG CHẤM CÔNG T3'!M31</f>
        <v>0</v>
      </c>
      <c r="W31" s="132">
        <f t="shared" si="4"/>
        <v>2053846.153846154</v>
      </c>
      <c r="X31" s="132">
        <f t="shared" si="5"/>
        <v>401141.82692307694</v>
      </c>
      <c r="Y31" s="132">
        <f t="shared" si="6"/>
        <v>0</v>
      </c>
      <c r="Z31" s="132">
        <f t="shared" si="7"/>
        <v>342307.69230769231</v>
      </c>
      <c r="AA31" s="132">
        <f t="shared" si="8"/>
        <v>230769.23076923075</v>
      </c>
      <c r="AB31" s="132">
        <f t="shared" si="9"/>
        <v>115384.61538461538</v>
      </c>
      <c r="AC31" s="132">
        <f t="shared" si="10"/>
        <v>0</v>
      </c>
      <c r="AD31" s="132">
        <f t="shared" si="11"/>
        <v>0</v>
      </c>
      <c r="AE31" s="132">
        <f t="shared" si="16"/>
        <v>0</v>
      </c>
      <c r="AF31" s="132">
        <f t="shared" si="17"/>
        <v>230769.23076923075</v>
      </c>
      <c r="AG31" s="132"/>
      <c r="AH31" s="197">
        <f t="shared" si="18"/>
        <v>3374218.75</v>
      </c>
      <c r="AI31" s="132"/>
      <c r="AJ31" s="132"/>
      <c r="AK31" s="132"/>
      <c r="AL31" s="132">
        <v>11000000</v>
      </c>
      <c r="AM31" s="132">
        <f t="shared" si="12"/>
        <v>0</v>
      </c>
      <c r="AN31" s="132">
        <f t="shared" si="19"/>
        <v>11304867.788461538</v>
      </c>
      <c r="AO31" s="132">
        <f t="shared" si="13"/>
        <v>-7930649.038461538</v>
      </c>
      <c r="AP31" s="204">
        <f t="shared" si="14"/>
        <v>0</v>
      </c>
      <c r="AQ31" s="132">
        <f t="shared" si="1"/>
        <v>53485.576923076922</v>
      </c>
      <c r="AR31" s="132"/>
      <c r="AS31" s="132"/>
      <c r="AT31" s="197">
        <f t="shared" si="15"/>
        <v>53485.576923076922</v>
      </c>
      <c r="AU31" s="200">
        <f t="shared" si="2"/>
        <v>3320733.173076923</v>
      </c>
    </row>
    <row r="32" spans="1:49" ht="15.75" x14ac:dyDescent="0.25">
      <c r="A32" s="199">
        <v>24</v>
      </c>
      <c r="B32" s="72" t="s">
        <v>80</v>
      </c>
      <c r="C32" s="73" t="s">
        <v>81</v>
      </c>
      <c r="D32" s="72">
        <v>26</v>
      </c>
      <c r="E32" s="131">
        <f t="shared" si="3"/>
        <v>5700000</v>
      </c>
      <c r="F32" s="126">
        <v>4450000</v>
      </c>
      <c r="G32" s="126">
        <v>500000</v>
      </c>
      <c r="H32" s="126">
        <v>250000</v>
      </c>
      <c r="I32" s="126"/>
      <c r="J32" s="126"/>
      <c r="K32" s="126"/>
      <c r="L32" s="126">
        <v>500000</v>
      </c>
      <c r="M32" s="127">
        <f>'BẢNG CHẤM CÔNG T3'!D32</f>
        <v>12</v>
      </c>
      <c r="N32" s="127">
        <f>'BẢNG CHẤM CÔNG T3'!E32</f>
        <v>20.5</v>
      </c>
      <c r="O32" s="127">
        <f>'BẢNG CHẤM CÔNG T3'!F32</f>
        <v>0</v>
      </c>
      <c r="P32" s="127">
        <f>'BẢNG CHẤM CÔNG T3'!G32</f>
        <v>0</v>
      </c>
      <c r="Q32" s="127">
        <f>'BẢNG CHẤM CÔNG T3'!H32</f>
        <v>0</v>
      </c>
      <c r="R32" s="127">
        <f>'BẢNG CHẤM CÔNG T3'!I32</f>
        <v>0</v>
      </c>
      <c r="S32" s="127">
        <f>'BẢNG CHẤM CÔNG T3'!J32</f>
        <v>0</v>
      </c>
      <c r="T32" s="127">
        <f>'BẢNG CHẤM CÔNG T3'!K32</f>
        <v>0</v>
      </c>
      <c r="U32" s="127">
        <f>'BẢNG CHẤM CÔNG T3'!L32</f>
        <v>0</v>
      </c>
      <c r="V32" s="127">
        <f>'BẢNG CHẤM CÔNG T3'!M32</f>
        <v>0</v>
      </c>
      <c r="W32" s="132">
        <f t="shared" si="4"/>
        <v>2053846.153846154</v>
      </c>
      <c r="X32" s="132">
        <f t="shared" si="5"/>
        <v>657872.59615384613</v>
      </c>
      <c r="Y32" s="132">
        <f t="shared" si="6"/>
        <v>0</v>
      </c>
      <c r="Z32" s="132">
        <f t="shared" si="7"/>
        <v>0</v>
      </c>
      <c r="AA32" s="132">
        <f t="shared" si="8"/>
        <v>230769.23076923075</v>
      </c>
      <c r="AB32" s="132">
        <f t="shared" si="9"/>
        <v>115384.61538461538</v>
      </c>
      <c r="AC32" s="132">
        <f t="shared" si="10"/>
        <v>0</v>
      </c>
      <c r="AD32" s="132">
        <f t="shared" si="11"/>
        <v>0</v>
      </c>
      <c r="AE32" s="132">
        <f t="shared" si="16"/>
        <v>0</v>
      </c>
      <c r="AF32" s="132">
        <f t="shared" si="17"/>
        <v>230769.23076923075</v>
      </c>
      <c r="AG32" s="132"/>
      <c r="AH32" s="197">
        <f t="shared" si="18"/>
        <v>3288641.826923077</v>
      </c>
      <c r="AI32" s="132"/>
      <c r="AJ32" s="132"/>
      <c r="AK32" s="132"/>
      <c r="AL32" s="132">
        <v>11000000</v>
      </c>
      <c r="AM32" s="132">
        <f t="shared" si="12"/>
        <v>0</v>
      </c>
      <c r="AN32" s="132">
        <f t="shared" si="19"/>
        <v>11219290.865384616</v>
      </c>
      <c r="AO32" s="132">
        <f t="shared" si="13"/>
        <v>-7930649.038461539</v>
      </c>
      <c r="AP32" s="204">
        <f t="shared" si="14"/>
        <v>0</v>
      </c>
      <c r="AQ32" s="132">
        <f t="shared" si="1"/>
        <v>0</v>
      </c>
      <c r="AR32" s="132"/>
      <c r="AS32" s="132"/>
      <c r="AT32" s="197">
        <f t="shared" si="15"/>
        <v>0</v>
      </c>
      <c r="AU32" s="200">
        <f t="shared" si="2"/>
        <v>3288641.826923077</v>
      </c>
    </row>
    <row r="33" spans="1:47" ht="15.75" x14ac:dyDescent="0.25">
      <c r="A33" s="199">
        <v>25</v>
      </c>
      <c r="B33" s="72" t="s">
        <v>82</v>
      </c>
      <c r="C33" s="73" t="s">
        <v>83</v>
      </c>
      <c r="D33" s="72">
        <v>26</v>
      </c>
      <c r="E33" s="131">
        <f t="shared" si="3"/>
        <v>5700000</v>
      </c>
      <c r="F33" s="126">
        <v>4450000</v>
      </c>
      <c r="G33" s="126">
        <v>500000</v>
      </c>
      <c r="H33" s="126">
        <v>250000</v>
      </c>
      <c r="I33" s="126"/>
      <c r="J33" s="126"/>
      <c r="K33" s="126"/>
      <c r="L33" s="126">
        <v>500000</v>
      </c>
      <c r="M33" s="127">
        <f>'BẢNG CHẤM CÔNG T3'!D33</f>
        <v>12</v>
      </c>
      <c r="N33" s="127">
        <f>'BẢNG CHẤM CÔNG T3'!E33</f>
        <v>22.5</v>
      </c>
      <c r="O33" s="127">
        <f>'BẢNG CHẤM CÔNG T3'!F33</f>
        <v>0</v>
      </c>
      <c r="P33" s="127">
        <f>'BẢNG CHẤM CÔNG T3'!G33</f>
        <v>0</v>
      </c>
      <c r="Q33" s="127">
        <f>'BẢNG CHẤM CÔNG T3'!H33</f>
        <v>0</v>
      </c>
      <c r="R33" s="127">
        <f>'BẢNG CHẤM CÔNG T3'!I33</f>
        <v>0</v>
      </c>
      <c r="S33" s="127">
        <f>'BẢNG CHẤM CÔNG T3'!J33</f>
        <v>0</v>
      </c>
      <c r="T33" s="127">
        <f>'BẢNG CHẤM CÔNG T3'!K33</f>
        <v>0</v>
      </c>
      <c r="U33" s="127">
        <f>'BẢNG CHẤM CÔNG T3'!L33</f>
        <v>0</v>
      </c>
      <c r="V33" s="127">
        <f>'BẢNG CHẤM CÔNG T3'!M33</f>
        <v>0</v>
      </c>
      <c r="W33" s="132">
        <f t="shared" si="4"/>
        <v>2053846.153846154</v>
      </c>
      <c r="X33" s="132">
        <f t="shared" si="5"/>
        <v>722055.2884615385</v>
      </c>
      <c r="Y33" s="132">
        <f t="shared" si="6"/>
        <v>0</v>
      </c>
      <c r="Z33" s="132">
        <f t="shared" si="7"/>
        <v>0</v>
      </c>
      <c r="AA33" s="132">
        <f t="shared" si="8"/>
        <v>230769.23076923075</v>
      </c>
      <c r="AB33" s="132">
        <f t="shared" si="9"/>
        <v>115384.61538461538</v>
      </c>
      <c r="AC33" s="132">
        <f t="shared" si="10"/>
        <v>0</v>
      </c>
      <c r="AD33" s="132">
        <f t="shared" si="11"/>
        <v>0</v>
      </c>
      <c r="AE33" s="132">
        <f t="shared" si="16"/>
        <v>0</v>
      </c>
      <c r="AF33" s="132">
        <f t="shared" si="17"/>
        <v>230769.23076923075</v>
      </c>
      <c r="AG33" s="132"/>
      <c r="AH33" s="197">
        <f t="shared" si="18"/>
        <v>3352824.519230769</v>
      </c>
      <c r="AI33" s="132"/>
      <c r="AJ33" s="132"/>
      <c r="AK33" s="132"/>
      <c r="AL33" s="132">
        <v>11000000</v>
      </c>
      <c r="AM33" s="132">
        <f t="shared" si="12"/>
        <v>0</v>
      </c>
      <c r="AN33" s="132">
        <f t="shared" si="19"/>
        <v>11240685.096153846</v>
      </c>
      <c r="AO33" s="132">
        <f t="shared" si="13"/>
        <v>-7887860.576923077</v>
      </c>
      <c r="AP33" s="204">
        <f t="shared" si="14"/>
        <v>0</v>
      </c>
      <c r="AQ33" s="132">
        <f t="shared" si="1"/>
        <v>0</v>
      </c>
      <c r="AR33" s="132"/>
      <c r="AS33" s="132"/>
      <c r="AT33" s="197">
        <f t="shared" si="15"/>
        <v>0</v>
      </c>
      <c r="AU33" s="200">
        <f t="shared" si="2"/>
        <v>3352824.519230769</v>
      </c>
    </row>
    <row r="34" spans="1:47" ht="15.75" x14ac:dyDescent="0.25">
      <c r="A34" s="199">
        <v>26</v>
      </c>
      <c r="B34" s="72" t="s">
        <v>84</v>
      </c>
      <c r="C34" s="73" t="s">
        <v>85</v>
      </c>
      <c r="D34" s="72">
        <v>26</v>
      </c>
      <c r="E34" s="131">
        <f t="shared" si="3"/>
        <v>5700000</v>
      </c>
      <c r="F34" s="126">
        <v>4450000</v>
      </c>
      <c r="G34" s="126">
        <v>500000</v>
      </c>
      <c r="H34" s="126">
        <v>250000</v>
      </c>
      <c r="I34" s="126"/>
      <c r="J34" s="126"/>
      <c r="K34" s="126"/>
      <c r="L34" s="126">
        <v>500000</v>
      </c>
      <c r="M34" s="127">
        <f>'BẢNG CHẤM CÔNG T3'!D34</f>
        <v>9</v>
      </c>
      <c r="N34" s="127">
        <f>'BẢNG CHẤM CÔNG T3'!E34</f>
        <v>10.5</v>
      </c>
      <c r="O34" s="127">
        <f>'BẢNG CHẤM CÔNG T3'!F34</f>
        <v>0</v>
      </c>
      <c r="P34" s="127">
        <f>'BẢNG CHẤM CÔNG T3'!G34</f>
        <v>0</v>
      </c>
      <c r="Q34" s="127">
        <f>'BẢNG CHẤM CÔNG T3'!H34</f>
        <v>0</v>
      </c>
      <c r="R34" s="127">
        <f>'BẢNG CHẤM CÔNG T3'!I34</f>
        <v>0</v>
      </c>
      <c r="S34" s="127">
        <f>'BẢNG CHẤM CÔNG T3'!J34</f>
        <v>0</v>
      </c>
      <c r="T34" s="127">
        <f>'BẢNG CHẤM CÔNG T3'!K34</f>
        <v>0</v>
      </c>
      <c r="U34" s="127">
        <f>'BẢNG CHẤM CÔNG T3'!L34</f>
        <v>0</v>
      </c>
      <c r="V34" s="127">
        <f>'BẢNG CHẤM CÔNG T3'!M34</f>
        <v>0</v>
      </c>
      <c r="W34" s="132">
        <f t="shared" si="4"/>
        <v>1540384.6153846155</v>
      </c>
      <c r="X34" s="132">
        <f t="shared" si="5"/>
        <v>336959.13461538462</v>
      </c>
      <c r="Y34" s="132">
        <f t="shared" si="6"/>
        <v>0</v>
      </c>
      <c r="Z34" s="132">
        <f t="shared" si="7"/>
        <v>0</v>
      </c>
      <c r="AA34" s="132">
        <f t="shared" si="8"/>
        <v>173076.92307692306</v>
      </c>
      <c r="AB34" s="132">
        <f t="shared" si="9"/>
        <v>86538.461538461532</v>
      </c>
      <c r="AC34" s="132">
        <f t="shared" si="10"/>
        <v>0</v>
      </c>
      <c r="AD34" s="132">
        <f t="shared" si="11"/>
        <v>0</v>
      </c>
      <c r="AE34" s="132">
        <f t="shared" si="16"/>
        <v>0</v>
      </c>
      <c r="AF34" s="132">
        <f t="shared" si="17"/>
        <v>173076.92307692306</v>
      </c>
      <c r="AG34" s="132"/>
      <c r="AH34" s="197">
        <f t="shared" si="18"/>
        <v>2310036.0576923075</v>
      </c>
      <c r="AI34" s="132"/>
      <c r="AJ34" s="132"/>
      <c r="AK34" s="132"/>
      <c r="AL34" s="132">
        <v>11000000</v>
      </c>
      <c r="AM34" s="132">
        <f t="shared" si="12"/>
        <v>0</v>
      </c>
      <c r="AN34" s="132">
        <f t="shared" si="19"/>
        <v>11112319.711538462</v>
      </c>
      <c r="AO34" s="132">
        <f t="shared" si="13"/>
        <v>-8802283.653846154</v>
      </c>
      <c r="AP34" s="204">
        <f t="shared" si="14"/>
        <v>0</v>
      </c>
      <c r="AQ34" s="132">
        <f t="shared" si="1"/>
        <v>0</v>
      </c>
      <c r="AR34" s="132"/>
      <c r="AS34" s="132"/>
      <c r="AT34" s="197">
        <f t="shared" si="15"/>
        <v>0</v>
      </c>
      <c r="AU34" s="200">
        <f t="shared" si="2"/>
        <v>2310036.0576923075</v>
      </c>
    </row>
    <row r="35" spans="1:47" ht="15.75" x14ac:dyDescent="0.25">
      <c r="A35" s="199">
        <v>27</v>
      </c>
      <c r="B35" s="72" t="s">
        <v>86</v>
      </c>
      <c r="C35" s="73" t="s">
        <v>87</v>
      </c>
      <c r="D35" s="72">
        <v>26</v>
      </c>
      <c r="E35" s="131">
        <f t="shared" si="3"/>
        <v>5700000</v>
      </c>
      <c r="F35" s="126">
        <v>4450000</v>
      </c>
      <c r="G35" s="126">
        <v>500000</v>
      </c>
      <c r="H35" s="126">
        <v>250000</v>
      </c>
      <c r="I35" s="126"/>
      <c r="J35" s="126"/>
      <c r="K35" s="126"/>
      <c r="L35" s="126">
        <v>500000</v>
      </c>
      <c r="M35" s="127">
        <f>'BẢNG CHẤM CÔNG T3'!D35</f>
        <v>8</v>
      </c>
      <c r="N35" s="127">
        <f>'BẢNG CHẤM CÔNG T3'!E35</f>
        <v>25</v>
      </c>
      <c r="O35" s="127">
        <f>'BẢNG CHẤM CÔNG T3'!F35</f>
        <v>0</v>
      </c>
      <c r="P35" s="127">
        <f>'BẢNG CHẤM CÔNG T3'!G35</f>
        <v>0</v>
      </c>
      <c r="Q35" s="127">
        <f>'BẢNG CHẤM CÔNG T3'!H35</f>
        <v>0</v>
      </c>
      <c r="R35" s="127">
        <f>'BẢNG CHẤM CÔNG T3'!I35</f>
        <v>0</v>
      </c>
      <c r="S35" s="127">
        <f>'BẢNG CHẤM CÔNG T3'!J35</f>
        <v>0</v>
      </c>
      <c r="T35" s="127">
        <f>'BẢNG CHẤM CÔNG T3'!K35</f>
        <v>0</v>
      </c>
      <c r="U35" s="127">
        <f>'BẢNG CHẤM CÔNG T3'!L35</f>
        <v>0</v>
      </c>
      <c r="V35" s="127">
        <f>'BẢNG CHẤM CÔNG T3'!M35</f>
        <v>0</v>
      </c>
      <c r="W35" s="132">
        <f t="shared" si="4"/>
        <v>1369230.7692307692</v>
      </c>
      <c r="X35" s="132">
        <f t="shared" si="5"/>
        <v>802283.65384615387</v>
      </c>
      <c r="Y35" s="132">
        <f t="shared" si="6"/>
        <v>0</v>
      </c>
      <c r="Z35" s="132">
        <f t="shared" si="7"/>
        <v>0</v>
      </c>
      <c r="AA35" s="132">
        <f t="shared" si="8"/>
        <v>153846.15384615384</v>
      </c>
      <c r="AB35" s="132">
        <f t="shared" si="9"/>
        <v>76923.076923076922</v>
      </c>
      <c r="AC35" s="132">
        <f t="shared" si="10"/>
        <v>0</v>
      </c>
      <c r="AD35" s="132">
        <f t="shared" si="11"/>
        <v>0</v>
      </c>
      <c r="AE35" s="132">
        <f t="shared" si="16"/>
        <v>0</v>
      </c>
      <c r="AF35" s="132">
        <f t="shared" si="17"/>
        <v>153846.15384615384</v>
      </c>
      <c r="AG35" s="132"/>
      <c r="AH35" s="197">
        <f t="shared" si="18"/>
        <v>2556129.807692308</v>
      </c>
      <c r="AI35" s="132"/>
      <c r="AJ35" s="132"/>
      <c r="AK35" s="132"/>
      <c r="AL35" s="132">
        <v>11000000</v>
      </c>
      <c r="AM35" s="132">
        <f t="shared" si="12"/>
        <v>0</v>
      </c>
      <c r="AN35" s="132">
        <f t="shared" si="19"/>
        <v>11267427.884615384</v>
      </c>
      <c r="AO35" s="132">
        <f t="shared" si="13"/>
        <v>-8711298.0769230761</v>
      </c>
      <c r="AP35" s="204">
        <f t="shared" si="14"/>
        <v>0</v>
      </c>
      <c r="AQ35" s="132">
        <f t="shared" si="1"/>
        <v>0</v>
      </c>
      <c r="AR35" s="132"/>
      <c r="AS35" s="132"/>
      <c r="AT35" s="197">
        <f t="shared" si="15"/>
        <v>0</v>
      </c>
      <c r="AU35" s="200">
        <f t="shared" si="2"/>
        <v>2556129.807692308</v>
      </c>
    </row>
    <row r="36" spans="1:47" ht="15.75" x14ac:dyDescent="0.25">
      <c r="A36" s="199">
        <v>28</v>
      </c>
      <c r="B36" s="72" t="s">
        <v>88</v>
      </c>
      <c r="C36" s="73" t="s">
        <v>89</v>
      </c>
      <c r="D36" s="72">
        <v>26</v>
      </c>
      <c r="E36" s="131">
        <f t="shared" si="3"/>
        <v>5700000</v>
      </c>
      <c r="F36" s="126">
        <v>4450000</v>
      </c>
      <c r="G36" s="126">
        <v>500000</v>
      </c>
      <c r="H36" s="126">
        <v>250000</v>
      </c>
      <c r="I36" s="126"/>
      <c r="J36" s="126"/>
      <c r="K36" s="126"/>
      <c r="L36" s="126">
        <v>500000</v>
      </c>
      <c r="M36" s="127">
        <f>'BẢNG CHẤM CÔNG T3'!D36</f>
        <v>8</v>
      </c>
      <c r="N36" s="127">
        <f>'BẢNG CHẤM CÔNG T3'!E36</f>
        <v>25</v>
      </c>
      <c r="O36" s="127">
        <f>'BẢNG CHẤM CÔNG T3'!F36</f>
        <v>0</v>
      </c>
      <c r="P36" s="127">
        <f>'BẢNG CHẤM CÔNG T3'!G36</f>
        <v>0</v>
      </c>
      <c r="Q36" s="127">
        <f>'BẢNG CHẤM CÔNG T3'!H36</f>
        <v>0</v>
      </c>
      <c r="R36" s="127">
        <f>'BẢNG CHẤM CÔNG T3'!I36</f>
        <v>0</v>
      </c>
      <c r="S36" s="127">
        <f>'BẢNG CHẤM CÔNG T3'!J36</f>
        <v>0</v>
      </c>
      <c r="T36" s="127">
        <f>'BẢNG CHẤM CÔNG T3'!K36</f>
        <v>0</v>
      </c>
      <c r="U36" s="127">
        <f>'BẢNG CHẤM CÔNG T3'!L36</f>
        <v>0</v>
      </c>
      <c r="V36" s="127">
        <f>'BẢNG CHẤM CÔNG T3'!M36</f>
        <v>0</v>
      </c>
      <c r="W36" s="132">
        <f t="shared" si="4"/>
        <v>1369230.7692307692</v>
      </c>
      <c r="X36" s="132">
        <f t="shared" si="5"/>
        <v>802283.65384615387</v>
      </c>
      <c r="Y36" s="132">
        <f t="shared" si="6"/>
        <v>0</v>
      </c>
      <c r="Z36" s="132">
        <f t="shared" si="7"/>
        <v>0</v>
      </c>
      <c r="AA36" s="132">
        <f t="shared" si="8"/>
        <v>153846.15384615384</v>
      </c>
      <c r="AB36" s="132">
        <f t="shared" si="9"/>
        <v>76923.076923076922</v>
      </c>
      <c r="AC36" s="132">
        <f t="shared" si="10"/>
        <v>0</v>
      </c>
      <c r="AD36" s="132">
        <f t="shared" si="11"/>
        <v>0</v>
      </c>
      <c r="AE36" s="132">
        <f t="shared" si="16"/>
        <v>0</v>
      </c>
      <c r="AF36" s="132">
        <f t="shared" si="17"/>
        <v>153846.15384615384</v>
      </c>
      <c r="AG36" s="132"/>
      <c r="AH36" s="197">
        <f t="shared" si="18"/>
        <v>2556129.807692308</v>
      </c>
      <c r="AI36" s="132"/>
      <c r="AJ36" s="132"/>
      <c r="AK36" s="132"/>
      <c r="AL36" s="132">
        <v>11000000</v>
      </c>
      <c r="AM36" s="132">
        <f t="shared" si="12"/>
        <v>0</v>
      </c>
      <c r="AN36" s="132">
        <f t="shared" si="19"/>
        <v>11267427.884615384</v>
      </c>
      <c r="AO36" s="132">
        <f t="shared" si="13"/>
        <v>-8711298.0769230761</v>
      </c>
      <c r="AP36" s="204">
        <f t="shared" si="14"/>
        <v>0</v>
      </c>
      <c r="AQ36" s="132">
        <f t="shared" si="1"/>
        <v>0</v>
      </c>
      <c r="AR36" s="132"/>
      <c r="AS36" s="132"/>
      <c r="AT36" s="197">
        <f t="shared" si="15"/>
        <v>0</v>
      </c>
      <c r="AU36" s="200">
        <f t="shared" si="2"/>
        <v>2556129.807692308</v>
      </c>
    </row>
    <row r="37" spans="1:47" ht="15.75" x14ac:dyDescent="0.25">
      <c r="A37" s="199">
        <v>29</v>
      </c>
      <c r="B37" s="72" t="s">
        <v>499</v>
      </c>
      <c r="C37" s="73" t="s">
        <v>482</v>
      </c>
      <c r="D37" s="72">
        <v>26</v>
      </c>
      <c r="E37" s="131">
        <f t="shared" si="3"/>
        <v>5200000</v>
      </c>
      <c r="F37" s="126">
        <v>4450000</v>
      </c>
      <c r="G37" s="126">
        <v>500000</v>
      </c>
      <c r="H37" s="126">
        <v>250000</v>
      </c>
      <c r="I37" s="126"/>
      <c r="J37" s="126"/>
      <c r="K37" s="126"/>
      <c r="L37" s="126"/>
      <c r="M37" s="127">
        <f>'BẢNG CHẤM CÔNG T3'!D37</f>
        <v>5</v>
      </c>
      <c r="N37" s="127">
        <f>'BẢNG CHẤM CÔNG T3'!E37</f>
        <v>14.5</v>
      </c>
      <c r="O37" s="127">
        <f>'BẢNG CHẤM CÔNG T3'!F37</f>
        <v>0</v>
      </c>
      <c r="P37" s="127">
        <f>'BẢNG CHẤM CÔNG T3'!G37</f>
        <v>0</v>
      </c>
      <c r="Q37" s="127">
        <f>'BẢNG CHẤM CÔNG T3'!H37</f>
        <v>8</v>
      </c>
      <c r="R37" s="127">
        <f>'BẢNG CHẤM CÔNG T3'!I37</f>
        <v>0</v>
      </c>
      <c r="S37" s="127">
        <f>'BẢNG CHẤM CÔNG T3'!J37</f>
        <v>0</v>
      </c>
      <c r="T37" s="127">
        <f>'BẢNG CHẤM CÔNG T3'!K37</f>
        <v>0</v>
      </c>
      <c r="U37" s="127">
        <f>'BẢNG CHẤM CÔNG T3'!L37</f>
        <v>0</v>
      </c>
      <c r="V37" s="127">
        <f>'BẢNG CHẤM CÔNG T3'!M37</f>
        <v>0</v>
      </c>
      <c r="W37" s="132">
        <f t="shared" si="4"/>
        <v>855769.23076923075</v>
      </c>
      <c r="X37" s="132">
        <f t="shared" si="5"/>
        <v>465324.51923076925</v>
      </c>
      <c r="Y37" s="132">
        <f t="shared" si="6"/>
        <v>0</v>
      </c>
      <c r="Z37" s="132">
        <f t="shared" si="7"/>
        <v>342307.69230769231</v>
      </c>
      <c r="AA37" s="132">
        <f t="shared" si="8"/>
        <v>96153.846153846156</v>
      </c>
      <c r="AB37" s="132">
        <f t="shared" si="9"/>
        <v>48076.923076923078</v>
      </c>
      <c r="AC37" s="132">
        <f t="shared" si="10"/>
        <v>0</v>
      </c>
      <c r="AD37" s="132">
        <f t="shared" si="11"/>
        <v>0</v>
      </c>
      <c r="AE37" s="132">
        <f t="shared" si="16"/>
        <v>0</v>
      </c>
      <c r="AF37" s="132">
        <f t="shared" si="17"/>
        <v>0</v>
      </c>
      <c r="AG37" s="132"/>
      <c r="AH37" s="197">
        <f t="shared" si="18"/>
        <v>1807632.2115384615</v>
      </c>
      <c r="AI37" s="132"/>
      <c r="AJ37" s="132"/>
      <c r="AK37" s="132"/>
      <c r="AL37" s="132">
        <v>11000000</v>
      </c>
      <c r="AM37" s="132">
        <f t="shared" si="12"/>
        <v>0</v>
      </c>
      <c r="AN37" s="132">
        <f t="shared" si="19"/>
        <v>11326262.01923077</v>
      </c>
      <c r="AO37" s="132">
        <f t="shared" si="13"/>
        <v>-9518629.807692308</v>
      </c>
      <c r="AP37" s="204">
        <f t="shared" si="14"/>
        <v>0</v>
      </c>
      <c r="AQ37" s="132">
        <f t="shared" si="1"/>
        <v>0</v>
      </c>
      <c r="AR37" s="132"/>
      <c r="AS37" s="132"/>
      <c r="AT37" s="197">
        <f t="shared" si="15"/>
        <v>0</v>
      </c>
      <c r="AU37" s="200">
        <f t="shared" si="2"/>
        <v>1807632.2115384615</v>
      </c>
    </row>
    <row r="38" spans="1:47" ht="15.75" x14ac:dyDescent="0.25">
      <c r="A38" s="199">
        <v>30</v>
      </c>
      <c r="B38" s="72" t="s">
        <v>315</v>
      </c>
      <c r="C38" s="73" t="s">
        <v>316</v>
      </c>
      <c r="D38" s="72">
        <v>26</v>
      </c>
      <c r="E38" s="131">
        <f t="shared" si="3"/>
        <v>5200000</v>
      </c>
      <c r="F38" s="126">
        <v>4450000</v>
      </c>
      <c r="G38" s="126">
        <v>500000</v>
      </c>
      <c r="H38" s="126">
        <v>250000</v>
      </c>
      <c r="I38" s="126"/>
      <c r="J38" s="126"/>
      <c r="K38" s="126"/>
      <c r="L38" s="126"/>
      <c r="M38" s="127">
        <f>'BẢNG CHẤM CÔNG T3'!D38</f>
        <v>11</v>
      </c>
      <c r="N38" s="127">
        <f>'BẢNG CHẤM CÔNG T3'!E38</f>
        <v>0</v>
      </c>
      <c r="O38" s="127">
        <f>'BẢNG CHẤM CÔNG T3'!F38</f>
        <v>0</v>
      </c>
      <c r="P38" s="127">
        <f>'BẢNG CHẤM CÔNG T3'!G38</f>
        <v>0</v>
      </c>
      <c r="Q38" s="127">
        <f>'BẢNG CHẤM CÔNG T3'!H38</f>
        <v>0</v>
      </c>
      <c r="R38" s="127">
        <f>'BẢNG CHẤM CÔNG T3'!I38</f>
        <v>0</v>
      </c>
      <c r="S38" s="127">
        <f>'BẢNG CHẤM CÔNG T3'!J38</f>
        <v>0</v>
      </c>
      <c r="T38" s="127">
        <f>'BẢNG CHẤM CÔNG T3'!K38</f>
        <v>0</v>
      </c>
      <c r="U38" s="127">
        <f>'BẢNG CHẤM CÔNG T3'!L38</f>
        <v>0</v>
      </c>
      <c r="V38" s="127">
        <f>'BẢNG CHẤM CÔNG T3'!M38</f>
        <v>0</v>
      </c>
      <c r="W38" s="132">
        <f t="shared" si="4"/>
        <v>1882692.3076923077</v>
      </c>
      <c r="X38" s="132">
        <f t="shared" si="5"/>
        <v>0</v>
      </c>
      <c r="Y38" s="132">
        <f>F38/D38/8*O38*1.8</f>
        <v>0</v>
      </c>
      <c r="Z38" s="132">
        <f t="shared" si="7"/>
        <v>0</v>
      </c>
      <c r="AA38" s="132">
        <f t="shared" si="8"/>
        <v>211538.46153846153</v>
      </c>
      <c r="AB38" s="132">
        <f>H38/D38*M38</f>
        <v>105769.23076923077</v>
      </c>
      <c r="AC38" s="132">
        <f t="shared" si="10"/>
        <v>0</v>
      </c>
      <c r="AD38" s="132">
        <f t="shared" si="11"/>
        <v>0</v>
      </c>
      <c r="AE38" s="132">
        <f t="shared" si="16"/>
        <v>0</v>
      </c>
      <c r="AF38" s="132">
        <f t="shared" si="17"/>
        <v>0</v>
      </c>
      <c r="AG38" s="132"/>
      <c r="AH38" s="197">
        <f t="shared" si="18"/>
        <v>2200000</v>
      </c>
      <c r="AI38" s="132"/>
      <c r="AJ38" s="132"/>
      <c r="AK38" s="132"/>
      <c r="AL38" s="132">
        <v>11000000</v>
      </c>
      <c r="AM38" s="132">
        <f t="shared" si="12"/>
        <v>0</v>
      </c>
      <c r="AN38" s="132">
        <f t="shared" si="19"/>
        <v>11000000</v>
      </c>
      <c r="AO38" s="132">
        <f t="shared" si="13"/>
        <v>-8800000</v>
      </c>
      <c r="AP38" s="204">
        <f t="shared" si="14"/>
        <v>0</v>
      </c>
      <c r="AQ38" s="132">
        <f t="shared" si="1"/>
        <v>0</v>
      </c>
      <c r="AR38" s="132"/>
      <c r="AS38" s="132"/>
      <c r="AT38" s="197">
        <f t="shared" si="15"/>
        <v>0</v>
      </c>
      <c r="AU38" s="200">
        <f t="shared" si="2"/>
        <v>2200000</v>
      </c>
    </row>
    <row r="39" spans="1:47" ht="15.75" x14ac:dyDescent="0.25">
      <c r="A39" s="493" t="s">
        <v>518</v>
      </c>
      <c r="B39" s="493"/>
      <c r="C39" s="493"/>
      <c r="D39" s="293"/>
      <c r="E39" s="293">
        <f>SUBTOTAL(9,E40:E44)</f>
        <v>45800000</v>
      </c>
      <c r="F39" s="293">
        <f t="shared" ref="F39:AU39" si="20">SUBTOTAL(9,F40:F44)</f>
        <v>22650000</v>
      </c>
      <c r="G39" s="293">
        <f t="shared" si="20"/>
        <v>2000000</v>
      </c>
      <c r="H39" s="293">
        <f t="shared" si="20"/>
        <v>1250000</v>
      </c>
      <c r="I39" s="293">
        <f t="shared" si="20"/>
        <v>4500000</v>
      </c>
      <c r="J39" s="293">
        <f t="shared" si="20"/>
        <v>1400000</v>
      </c>
      <c r="K39" s="293">
        <f t="shared" si="20"/>
        <v>3400000</v>
      </c>
      <c r="L39" s="293">
        <f t="shared" si="20"/>
        <v>10600000</v>
      </c>
      <c r="M39" s="293">
        <f t="shared" si="20"/>
        <v>125</v>
      </c>
      <c r="N39" s="293">
        <f t="shared" si="20"/>
        <v>274.2</v>
      </c>
      <c r="O39" s="293">
        <f t="shared" si="20"/>
        <v>92</v>
      </c>
      <c r="P39" s="293">
        <f t="shared" si="20"/>
        <v>5</v>
      </c>
      <c r="Q39" s="293">
        <f t="shared" si="20"/>
        <v>128</v>
      </c>
      <c r="R39" s="293">
        <f t="shared" si="20"/>
        <v>0</v>
      </c>
      <c r="S39" s="293">
        <f t="shared" si="20"/>
        <v>5</v>
      </c>
      <c r="T39" s="293">
        <f t="shared" si="20"/>
        <v>0</v>
      </c>
      <c r="U39" s="293">
        <f t="shared" si="20"/>
        <v>0</v>
      </c>
      <c r="V39" s="293">
        <f t="shared" si="20"/>
        <v>0</v>
      </c>
      <c r="W39" s="293">
        <f t="shared" si="20"/>
        <v>21778846.153846152</v>
      </c>
      <c r="X39" s="293">
        <f t="shared" si="20"/>
        <v>8960985.5769230761</v>
      </c>
      <c r="Y39" s="293">
        <f t="shared" si="20"/>
        <v>3622499.9999999995</v>
      </c>
      <c r="Z39" s="293">
        <f t="shared" si="20"/>
        <v>5550000</v>
      </c>
      <c r="AA39" s="293">
        <f t="shared" si="20"/>
        <v>1923076.923076923</v>
      </c>
      <c r="AB39" s="293">
        <f t="shared" si="20"/>
        <v>1201923.076923077</v>
      </c>
      <c r="AC39" s="293">
        <f t="shared" si="20"/>
        <v>4307692.307692308</v>
      </c>
      <c r="AD39" s="293">
        <f t="shared" si="20"/>
        <v>1376923.076923077</v>
      </c>
      <c r="AE39" s="293">
        <f t="shared" si="20"/>
        <v>3265384.615384615</v>
      </c>
      <c r="AF39" s="293">
        <f t="shared" si="20"/>
        <v>10138461.538461538</v>
      </c>
      <c r="AG39" s="293">
        <f t="shared" si="20"/>
        <v>0</v>
      </c>
      <c r="AH39" s="293">
        <f t="shared" si="20"/>
        <v>62125793.269230768</v>
      </c>
      <c r="AI39" s="293">
        <f t="shared" si="20"/>
        <v>0</v>
      </c>
      <c r="AJ39" s="293">
        <f t="shared" si="20"/>
        <v>0</v>
      </c>
      <c r="AK39" s="293">
        <f t="shared" si="20"/>
        <v>0</v>
      </c>
      <c r="AL39" s="293">
        <f t="shared" si="20"/>
        <v>55000000</v>
      </c>
      <c r="AM39" s="293">
        <f t="shared" si="20"/>
        <v>0</v>
      </c>
      <c r="AN39" s="293">
        <f t="shared" si="20"/>
        <v>62371995.192307696</v>
      </c>
      <c r="AO39" s="293"/>
      <c r="AP39" s="293">
        <f t="shared" si="20"/>
        <v>46947.115384615405</v>
      </c>
      <c r="AQ39" s="293">
        <f t="shared" si="20"/>
        <v>106971.15384615386</v>
      </c>
      <c r="AR39" s="293">
        <f t="shared" si="20"/>
        <v>0</v>
      </c>
      <c r="AS39" s="293">
        <f t="shared" si="20"/>
        <v>0</v>
      </c>
      <c r="AT39" s="293">
        <f t="shared" si="20"/>
        <v>108894.23076923085</v>
      </c>
      <c r="AU39" s="293">
        <f t="shared" si="20"/>
        <v>62016899.038461536</v>
      </c>
    </row>
    <row r="40" spans="1:47" ht="15.75" x14ac:dyDescent="0.25">
      <c r="A40" s="199">
        <v>31</v>
      </c>
      <c r="B40" s="72" t="s">
        <v>90</v>
      </c>
      <c r="C40" s="73" t="s">
        <v>91</v>
      </c>
      <c r="D40" s="72">
        <v>26</v>
      </c>
      <c r="E40" s="131">
        <f>SUM(F40:L40)</f>
        <v>10000000</v>
      </c>
      <c r="F40" s="126">
        <v>4850000</v>
      </c>
      <c r="G40" s="126"/>
      <c r="H40" s="126">
        <v>250000</v>
      </c>
      <c r="I40" s="126">
        <v>1000000</v>
      </c>
      <c r="J40" s="126">
        <v>600000</v>
      </c>
      <c r="K40" s="126">
        <v>700000</v>
      </c>
      <c r="L40" s="126">
        <v>2600000</v>
      </c>
      <c r="M40" s="127">
        <f>'BẢNG CHẤM CÔNG T3'!D40</f>
        <v>25</v>
      </c>
      <c r="N40" s="127">
        <f>'BẢNG CHẤM CÔNG T3'!E40</f>
        <v>56</v>
      </c>
      <c r="O40" s="127">
        <f>'BẢNG CHẤM CÔNG T3'!F40</f>
        <v>23</v>
      </c>
      <c r="P40" s="127">
        <f>'BẢNG CHẤM CÔNG T3'!G40</f>
        <v>0</v>
      </c>
      <c r="Q40" s="127">
        <f>'BẢNG CHẤM CÔNG T3'!H40</f>
        <v>19</v>
      </c>
      <c r="R40" s="127">
        <f>'BẢNG CHẤM CÔNG T3'!I40</f>
        <v>0</v>
      </c>
      <c r="S40" s="127">
        <f>'BẢNG CHẤM CÔNG T3'!J40</f>
        <v>1</v>
      </c>
      <c r="T40" s="127">
        <f>'BẢNG CHẤM CÔNG T3'!K40</f>
        <v>0</v>
      </c>
      <c r="U40" s="127">
        <f>'BẢNG CHẤM CÔNG T3'!L40</f>
        <v>0</v>
      </c>
      <c r="V40" s="127">
        <f>'BẢNG CHẤM CÔNG T3'!M40</f>
        <v>0</v>
      </c>
      <c r="W40" s="132">
        <f t="shared" si="4"/>
        <v>4663461.538461538</v>
      </c>
      <c r="X40" s="132">
        <f t="shared" si="5"/>
        <v>1958653.846153846</v>
      </c>
      <c r="Y40" s="132">
        <f>F40/D40/8*O40*1.8</f>
        <v>965336.53846153838</v>
      </c>
      <c r="Z40" s="132">
        <f t="shared" si="7"/>
        <v>886057.69230769225</v>
      </c>
      <c r="AA40" s="132">
        <f t="shared" si="8"/>
        <v>0</v>
      </c>
      <c r="AB40" s="132">
        <f>H40/D40*M40</f>
        <v>240384.61538461538</v>
      </c>
      <c r="AC40" s="132">
        <f t="shared" si="10"/>
        <v>961538.4615384615</v>
      </c>
      <c r="AD40" s="132">
        <f t="shared" si="11"/>
        <v>576923.07692307699</v>
      </c>
      <c r="AE40" s="132">
        <f t="shared" si="16"/>
        <v>673076.92307692301</v>
      </c>
      <c r="AF40" s="132">
        <f t="shared" si="17"/>
        <v>2500000</v>
      </c>
      <c r="AG40" s="132"/>
      <c r="AH40" s="197">
        <f t="shared" si="18"/>
        <v>13425432.692307692</v>
      </c>
      <c r="AI40" s="132"/>
      <c r="AJ40" s="132"/>
      <c r="AK40" s="132"/>
      <c r="AL40" s="132">
        <v>11000000</v>
      </c>
      <c r="AM40" s="132">
        <f t="shared" si="12"/>
        <v>0</v>
      </c>
      <c r="AN40" s="132">
        <f t="shared" si="19"/>
        <v>12524951.923076924</v>
      </c>
      <c r="AO40" s="132">
        <f t="shared" si="13"/>
        <v>900480.76923076808</v>
      </c>
      <c r="AP40" s="204">
        <f t="shared" ref="AP40:AP44" si="21">IF($A40="",0,IF(AO40&lt;=0,0,IF(AO40&lt;=5000000,AO40*$AW$3,IF(AO40&lt;=10000000,$AW$2*$AW$3+(AO40-$AW$2)*$AX$3,IF(AO40&lt;18000000,$AW$2*$AW$3+$AW$2*$AX$3+(AO40-$AX$2)*$AY$3,IF(AO40&lt;=32000000,$AW$2*$AW$3+$AW$2*$AX$3+$AY$2*$AY$3+(AO40-$AZ$2)*$BA$3))))))</f>
        <v>45024.03846153841</v>
      </c>
      <c r="AQ40" s="132">
        <f>F40/D40/8*P40</f>
        <v>0</v>
      </c>
      <c r="AR40" s="132"/>
      <c r="AS40" s="132"/>
      <c r="AT40" s="197">
        <f>AI40+AJ40+SUM(AQ40:AS40)</f>
        <v>0</v>
      </c>
      <c r="AU40" s="200">
        <f>AH40-AT40</f>
        <v>13425432.692307692</v>
      </c>
    </row>
    <row r="41" spans="1:47" ht="15.75" x14ac:dyDescent="0.25">
      <c r="A41" s="199">
        <v>32</v>
      </c>
      <c r="B41" s="72" t="s">
        <v>92</v>
      </c>
      <c r="C41" s="73" t="s">
        <v>93</v>
      </c>
      <c r="D41" s="72">
        <v>26</v>
      </c>
      <c r="E41" s="131">
        <f t="shared" ref="E41:E44" si="22">SUM(F41:L41)</f>
        <v>9500000</v>
      </c>
      <c r="F41" s="126">
        <v>4450000</v>
      </c>
      <c r="G41" s="126">
        <v>500000</v>
      </c>
      <c r="H41" s="126">
        <v>250000</v>
      </c>
      <c r="I41" s="126">
        <v>1000000</v>
      </c>
      <c r="J41" s="126"/>
      <c r="K41" s="126">
        <v>700000</v>
      </c>
      <c r="L41" s="126">
        <v>2600000</v>
      </c>
      <c r="M41" s="127">
        <f>'BẢNG CHẤM CÔNG T3'!D41</f>
        <v>24</v>
      </c>
      <c r="N41" s="127">
        <f>'BẢNG CHẤM CÔNG T3'!E41</f>
        <v>50.5</v>
      </c>
      <c r="O41" s="127">
        <f>'BẢNG CHẤM CÔNG T3'!F41</f>
        <v>20</v>
      </c>
      <c r="P41" s="127">
        <f>'BẢNG CHẤM CÔNG T3'!G41</f>
        <v>2.5</v>
      </c>
      <c r="Q41" s="127">
        <f>'BẢNG CHẤM CÔNG T3'!H41</f>
        <v>25.5</v>
      </c>
      <c r="R41" s="127">
        <f>'BẢNG CHẤM CÔNG T3'!I41</f>
        <v>0</v>
      </c>
      <c r="S41" s="127">
        <f>'BẢNG CHẤM CÔNG T3'!J41</f>
        <v>2</v>
      </c>
      <c r="T41" s="127">
        <f>'BẢNG CHẤM CÔNG T3'!K41</f>
        <v>0</v>
      </c>
      <c r="U41" s="127">
        <f>'BẢNG CHẤM CÔNG T3'!L41</f>
        <v>0</v>
      </c>
      <c r="V41" s="127">
        <f>'BẢNG CHẤM CÔNG T3'!M41</f>
        <v>0</v>
      </c>
      <c r="W41" s="132">
        <f t="shared" si="4"/>
        <v>4107692.307692308</v>
      </c>
      <c r="X41" s="132">
        <f t="shared" si="5"/>
        <v>1620612.9807692305</v>
      </c>
      <c r="Y41" s="132">
        <f t="shared" ref="Y41:Y92" si="23">F41/D41/8*O41*1.8</f>
        <v>770192.30769230775</v>
      </c>
      <c r="Z41" s="132">
        <f t="shared" si="7"/>
        <v>1091105.7692307692</v>
      </c>
      <c r="AA41" s="132">
        <f t="shared" si="8"/>
        <v>461538.4615384615</v>
      </c>
      <c r="AB41" s="132">
        <f t="shared" ref="AB41:AB92" si="24">H41/D41*M41</f>
        <v>230769.23076923075</v>
      </c>
      <c r="AC41" s="132">
        <f t="shared" si="10"/>
        <v>923076.92307692301</v>
      </c>
      <c r="AD41" s="132">
        <f t="shared" si="11"/>
        <v>0</v>
      </c>
      <c r="AE41" s="132">
        <f t="shared" si="16"/>
        <v>646153.84615384613</v>
      </c>
      <c r="AF41" s="132">
        <f t="shared" si="17"/>
        <v>2400000</v>
      </c>
      <c r="AG41" s="132"/>
      <c r="AH41" s="197">
        <f t="shared" si="18"/>
        <v>12251141.826923076</v>
      </c>
      <c r="AI41" s="132"/>
      <c r="AJ41" s="132"/>
      <c r="AK41" s="132"/>
      <c r="AL41" s="132">
        <v>11000000</v>
      </c>
      <c r="AM41" s="132">
        <f t="shared" si="12"/>
        <v>0</v>
      </c>
      <c r="AN41" s="132">
        <f t="shared" si="19"/>
        <v>12428064.903846154</v>
      </c>
      <c r="AO41" s="132">
        <f t="shared" si="13"/>
        <v>-176923.07692307793</v>
      </c>
      <c r="AP41" s="204">
        <f t="shared" si="21"/>
        <v>0</v>
      </c>
      <c r="AQ41" s="132">
        <f>F41/D41/8*P41</f>
        <v>53485.576923076922</v>
      </c>
      <c r="AR41" s="132"/>
      <c r="AS41" s="132"/>
      <c r="AT41" s="197">
        <f t="shared" ref="AT41:AT44" si="25">AP41+AI41+AJ41+SUM(AQ41:AS41)</f>
        <v>53485.576923076922</v>
      </c>
      <c r="AU41" s="200">
        <f t="shared" ref="AU41:AU43" si="26">AH41-AT41</f>
        <v>12197656.25</v>
      </c>
    </row>
    <row r="42" spans="1:47" ht="15.75" x14ac:dyDescent="0.25">
      <c r="A42" s="199">
        <v>33</v>
      </c>
      <c r="B42" s="72" t="s">
        <v>94</v>
      </c>
      <c r="C42" s="73" t="s">
        <v>475</v>
      </c>
      <c r="D42" s="72">
        <v>26</v>
      </c>
      <c r="E42" s="131">
        <f t="shared" si="22"/>
        <v>9000000</v>
      </c>
      <c r="F42" s="126">
        <v>4450000</v>
      </c>
      <c r="G42" s="126">
        <v>500000</v>
      </c>
      <c r="H42" s="126">
        <v>250000</v>
      </c>
      <c r="I42" s="126">
        <v>1000000</v>
      </c>
      <c r="J42" s="126"/>
      <c r="K42" s="126">
        <v>700000</v>
      </c>
      <c r="L42" s="126">
        <v>2100000</v>
      </c>
      <c r="M42" s="127">
        <f>'BẢNG CHẤM CÔNG T3'!D42</f>
        <v>25</v>
      </c>
      <c r="N42" s="127">
        <f>'BẢNG CHẤM CÔNG T3'!E42</f>
        <v>46.2</v>
      </c>
      <c r="O42" s="127">
        <f>'BẢNG CHẤM CÔNG T3'!F42</f>
        <v>6</v>
      </c>
      <c r="P42" s="127">
        <f>'BẢNG CHẤM CÔNG T3'!G42</f>
        <v>2</v>
      </c>
      <c r="Q42" s="127">
        <f>'BẢNG CHẤM CÔNG T3'!H42</f>
        <v>23.5</v>
      </c>
      <c r="R42" s="127">
        <f>'BẢNG CHẤM CÔNG T3'!I42</f>
        <v>0</v>
      </c>
      <c r="S42" s="127">
        <f>'BẢNG CHẤM CÔNG T3'!J42</f>
        <v>1</v>
      </c>
      <c r="T42" s="127">
        <f>'BẢNG CHẤM CÔNG T3'!K42</f>
        <v>0</v>
      </c>
      <c r="U42" s="127">
        <f>'BẢNG CHẤM CÔNG T3'!L42</f>
        <v>0</v>
      </c>
      <c r="V42" s="127">
        <f>'BẢNG CHẤM CÔNG T3'!M42</f>
        <v>0</v>
      </c>
      <c r="W42" s="132">
        <f t="shared" si="4"/>
        <v>4278846.153846154</v>
      </c>
      <c r="X42" s="132">
        <f t="shared" si="5"/>
        <v>1482620.1923076925</v>
      </c>
      <c r="Y42" s="132">
        <f t="shared" si="23"/>
        <v>231057.69230769234</v>
      </c>
      <c r="Z42" s="132">
        <f t="shared" si="7"/>
        <v>1005528.8461538461</v>
      </c>
      <c r="AA42" s="132">
        <f t="shared" si="8"/>
        <v>480769.23076923075</v>
      </c>
      <c r="AB42" s="132">
        <f t="shared" si="24"/>
        <v>240384.61538461538</v>
      </c>
      <c r="AC42" s="132">
        <f t="shared" si="10"/>
        <v>961538.4615384615</v>
      </c>
      <c r="AD42" s="132">
        <f t="shared" si="11"/>
        <v>0</v>
      </c>
      <c r="AE42" s="132">
        <f t="shared" si="16"/>
        <v>673076.92307692301</v>
      </c>
      <c r="AF42" s="132">
        <f t="shared" si="17"/>
        <v>2019230.7692307692</v>
      </c>
      <c r="AG42" s="132"/>
      <c r="AH42" s="197">
        <f t="shared" si="18"/>
        <v>11373052.884615386</v>
      </c>
      <c r="AI42" s="132"/>
      <c r="AJ42" s="132"/>
      <c r="AK42" s="132"/>
      <c r="AL42" s="132">
        <v>11000000</v>
      </c>
      <c r="AM42" s="132">
        <f t="shared" si="12"/>
        <v>0</v>
      </c>
      <c r="AN42" s="132">
        <f t="shared" si="19"/>
        <v>12099663.461538462</v>
      </c>
      <c r="AO42" s="132">
        <f t="shared" si="13"/>
        <v>-726610.57692307606</v>
      </c>
      <c r="AP42" s="204">
        <f t="shared" si="21"/>
        <v>0</v>
      </c>
      <c r="AQ42" s="132">
        <f>F42/D42/8*P42</f>
        <v>42788.461538461539</v>
      </c>
      <c r="AR42" s="132"/>
      <c r="AS42" s="132"/>
      <c r="AT42" s="197">
        <f t="shared" si="25"/>
        <v>42788.461538461539</v>
      </c>
      <c r="AU42" s="200">
        <f t="shared" si="26"/>
        <v>11330264.423076924</v>
      </c>
    </row>
    <row r="43" spans="1:47" ht="15.75" x14ac:dyDescent="0.25">
      <c r="A43" s="199">
        <v>34</v>
      </c>
      <c r="B43" s="72" t="s">
        <v>96</v>
      </c>
      <c r="C43" s="73" t="s">
        <v>97</v>
      </c>
      <c r="D43" s="72">
        <v>26</v>
      </c>
      <c r="E43" s="131">
        <f t="shared" si="22"/>
        <v>9000000</v>
      </c>
      <c r="F43" s="126">
        <v>4450000</v>
      </c>
      <c r="G43" s="126">
        <v>500000</v>
      </c>
      <c r="H43" s="126">
        <v>250000</v>
      </c>
      <c r="I43" s="126">
        <v>1000000</v>
      </c>
      <c r="J43" s="126"/>
      <c r="K43" s="126">
        <v>700000</v>
      </c>
      <c r="L43" s="126">
        <v>2100000</v>
      </c>
      <c r="M43" s="127">
        <f>'BẢNG CHẤM CÔNG T3'!D43</f>
        <v>25</v>
      </c>
      <c r="N43" s="127">
        <f>'BẢNG CHẤM CÔNG T3'!E43</f>
        <v>51.5</v>
      </c>
      <c r="O43" s="127">
        <f>'BẢNG CHẤM CÔNG T3'!F43</f>
        <v>19.5</v>
      </c>
      <c r="P43" s="127">
        <f>'BẢNG CHẤM CÔNG T3'!G43</f>
        <v>0.5</v>
      </c>
      <c r="Q43" s="127">
        <f>'BẢNG CHẤM CÔNG T3'!H43</f>
        <v>25.5</v>
      </c>
      <c r="R43" s="127">
        <f>'BẢNG CHẤM CÔNG T3'!I43</f>
        <v>0</v>
      </c>
      <c r="S43" s="127">
        <f>'BẢNG CHẤM CÔNG T3'!J43</f>
        <v>1</v>
      </c>
      <c r="T43" s="127">
        <f>'BẢNG CHẤM CÔNG T3'!K43</f>
        <v>0</v>
      </c>
      <c r="U43" s="127">
        <f>'BẢNG CHẤM CÔNG T3'!L43</f>
        <v>0</v>
      </c>
      <c r="V43" s="127">
        <f>'BẢNG CHẤM CÔNG T3'!M43</f>
        <v>0</v>
      </c>
      <c r="W43" s="132">
        <f t="shared" si="4"/>
        <v>4278846.153846154</v>
      </c>
      <c r="X43" s="132">
        <f t="shared" si="5"/>
        <v>1652704.326923077</v>
      </c>
      <c r="Y43" s="132">
        <f t="shared" si="23"/>
        <v>750937.5</v>
      </c>
      <c r="Z43" s="132">
        <f t="shared" si="7"/>
        <v>1091105.7692307692</v>
      </c>
      <c r="AA43" s="132">
        <f t="shared" si="8"/>
        <v>480769.23076923075</v>
      </c>
      <c r="AB43" s="132">
        <f t="shared" si="24"/>
        <v>240384.61538461538</v>
      </c>
      <c r="AC43" s="132">
        <f t="shared" si="10"/>
        <v>961538.4615384615</v>
      </c>
      <c r="AD43" s="132">
        <f t="shared" si="11"/>
        <v>0</v>
      </c>
      <c r="AE43" s="132">
        <f t="shared" si="16"/>
        <v>673076.92307692301</v>
      </c>
      <c r="AF43" s="132">
        <f t="shared" si="17"/>
        <v>2019230.7692307692</v>
      </c>
      <c r="AG43" s="132"/>
      <c r="AH43" s="197">
        <f t="shared" si="18"/>
        <v>12148593.750000002</v>
      </c>
      <c r="AI43" s="132"/>
      <c r="AJ43" s="132"/>
      <c r="AK43" s="132"/>
      <c r="AL43" s="132">
        <v>11000000</v>
      </c>
      <c r="AM43" s="132">
        <f t="shared" si="12"/>
        <v>0</v>
      </c>
      <c r="AN43" s="132">
        <f t="shared" si="19"/>
        <v>12430204.326923076</v>
      </c>
      <c r="AO43" s="132">
        <f t="shared" si="13"/>
        <v>-281610.5769230742</v>
      </c>
      <c r="AP43" s="204">
        <f t="shared" si="21"/>
        <v>0</v>
      </c>
      <c r="AQ43" s="132">
        <f>F43/D43/8*P43</f>
        <v>10697.115384615385</v>
      </c>
      <c r="AR43" s="132"/>
      <c r="AS43" s="132"/>
      <c r="AT43" s="197">
        <f t="shared" si="25"/>
        <v>10697.115384615385</v>
      </c>
      <c r="AU43" s="200">
        <f t="shared" si="26"/>
        <v>12137896.634615386</v>
      </c>
    </row>
    <row r="44" spans="1:47" ht="15.75" x14ac:dyDescent="0.25">
      <c r="A44" s="199">
        <v>35</v>
      </c>
      <c r="B44" s="72" t="s">
        <v>98</v>
      </c>
      <c r="C44" s="73" t="s">
        <v>99</v>
      </c>
      <c r="D44" s="72">
        <v>26</v>
      </c>
      <c r="E44" s="131">
        <f t="shared" si="22"/>
        <v>8300000</v>
      </c>
      <c r="F44" s="126">
        <v>4450000</v>
      </c>
      <c r="G44" s="126">
        <v>500000</v>
      </c>
      <c r="H44" s="126">
        <v>250000</v>
      </c>
      <c r="I44" s="126">
        <v>500000</v>
      </c>
      <c r="J44" s="126">
        <v>800000</v>
      </c>
      <c r="K44" s="126">
        <v>600000</v>
      </c>
      <c r="L44" s="126">
        <v>1200000</v>
      </c>
      <c r="M44" s="127">
        <f>'BẢNG CHẤM CÔNG T3'!D44</f>
        <v>26</v>
      </c>
      <c r="N44" s="127">
        <f>'BẢNG CHẤM CÔNG T3'!E44</f>
        <v>70</v>
      </c>
      <c r="O44" s="127">
        <f>'BẢNG CHẤM CÔNG T3'!F44</f>
        <v>23.5</v>
      </c>
      <c r="P44" s="127">
        <f>'BẢNG CHẤM CÔNG T3'!G44</f>
        <v>0</v>
      </c>
      <c r="Q44" s="127">
        <f>'BẢNG CHẤM CÔNG T3'!H44</f>
        <v>34.5</v>
      </c>
      <c r="R44" s="127">
        <f>'BẢNG CHẤM CÔNG T3'!I44</f>
        <v>0</v>
      </c>
      <c r="S44" s="127">
        <f>'BẢNG CHẤM CÔNG T3'!J44</f>
        <v>0</v>
      </c>
      <c r="T44" s="127">
        <f>'BẢNG CHẤM CÔNG T3'!K44</f>
        <v>0</v>
      </c>
      <c r="U44" s="127">
        <f>'BẢNG CHẤM CÔNG T3'!L44</f>
        <v>0</v>
      </c>
      <c r="V44" s="127">
        <f>'BẢNG CHẤM CÔNG T3'!M44</f>
        <v>0</v>
      </c>
      <c r="W44" s="132">
        <f t="shared" si="4"/>
        <v>4450000</v>
      </c>
      <c r="X44" s="132">
        <f t="shared" si="5"/>
        <v>2246394.2307692305</v>
      </c>
      <c r="Y44" s="132">
        <f t="shared" si="23"/>
        <v>904975.9615384615</v>
      </c>
      <c r="Z44" s="132">
        <f>F44/D44/8*Q44*2</f>
        <v>1476201.923076923</v>
      </c>
      <c r="AA44" s="132">
        <f t="shared" si="8"/>
        <v>500000</v>
      </c>
      <c r="AB44" s="132">
        <f t="shared" si="24"/>
        <v>250000</v>
      </c>
      <c r="AC44" s="132">
        <f t="shared" si="10"/>
        <v>500000</v>
      </c>
      <c r="AD44" s="132">
        <f t="shared" si="11"/>
        <v>800000</v>
      </c>
      <c r="AE44" s="132">
        <f t="shared" si="16"/>
        <v>600000</v>
      </c>
      <c r="AF44" s="132">
        <f t="shared" si="17"/>
        <v>1200000</v>
      </c>
      <c r="AG44" s="132"/>
      <c r="AH44" s="197">
        <f t="shared" si="18"/>
        <v>12927572.115384616</v>
      </c>
      <c r="AI44" s="132"/>
      <c r="AJ44" s="132"/>
      <c r="AK44" s="132"/>
      <c r="AL44" s="132">
        <v>11000000</v>
      </c>
      <c r="AM44" s="132">
        <f t="shared" si="12"/>
        <v>0</v>
      </c>
      <c r="AN44" s="132">
        <f t="shared" si="19"/>
        <v>12889110.576923076</v>
      </c>
      <c r="AO44" s="132">
        <f t="shared" si="13"/>
        <v>38461.538461539894</v>
      </c>
      <c r="AP44" s="204">
        <f t="shared" si="21"/>
        <v>1923.0769230769947</v>
      </c>
      <c r="AQ44" s="132">
        <f>F44/D44/8*P44</f>
        <v>0</v>
      </c>
      <c r="AR44" s="132"/>
      <c r="AS44" s="132"/>
      <c r="AT44" s="197">
        <f t="shared" si="25"/>
        <v>1923.0769230769947</v>
      </c>
      <c r="AU44" s="200">
        <f>AH44-AT44</f>
        <v>12925649.03846154</v>
      </c>
    </row>
    <row r="45" spans="1:47" ht="15" customHeight="1" x14ac:dyDescent="0.25">
      <c r="A45" s="494" t="s">
        <v>519</v>
      </c>
      <c r="B45" s="494"/>
      <c r="C45" s="494"/>
      <c r="D45" s="205"/>
      <c r="E45" s="205">
        <f>SUBTOTAL(9,E46:E88)</f>
        <v>255200000</v>
      </c>
      <c r="F45" s="205">
        <f t="shared" ref="F45:AU45" si="27">SUBTOTAL(9,F46:F88)</f>
        <v>191350000</v>
      </c>
      <c r="G45" s="205">
        <f t="shared" si="27"/>
        <v>21000000</v>
      </c>
      <c r="H45" s="205">
        <f t="shared" si="27"/>
        <v>10750000</v>
      </c>
      <c r="I45" s="205">
        <f t="shared" si="27"/>
        <v>1600000</v>
      </c>
      <c r="J45" s="205">
        <f t="shared" si="27"/>
        <v>1800000</v>
      </c>
      <c r="K45" s="205">
        <f t="shared" si="27"/>
        <v>8300000</v>
      </c>
      <c r="L45" s="205">
        <f t="shared" si="27"/>
        <v>20400000</v>
      </c>
      <c r="M45" s="205">
        <f t="shared" si="27"/>
        <v>680.5</v>
      </c>
      <c r="N45" s="205">
        <f t="shared" si="27"/>
        <v>1945</v>
      </c>
      <c r="O45" s="205">
        <f t="shared" si="27"/>
        <v>71.5</v>
      </c>
      <c r="P45" s="205">
        <f t="shared" si="27"/>
        <v>9</v>
      </c>
      <c r="Q45" s="205">
        <f t="shared" si="27"/>
        <v>591.5</v>
      </c>
      <c r="R45" s="205">
        <f t="shared" si="27"/>
        <v>0</v>
      </c>
      <c r="S45" s="205">
        <f t="shared" si="27"/>
        <v>14</v>
      </c>
      <c r="T45" s="205">
        <f t="shared" si="27"/>
        <v>0</v>
      </c>
      <c r="U45" s="205">
        <f t="shared" si="27"/>
        <v>0</v>
      </c>
      <c r="V45" s="205">
        <f t="shared" si="27"/>
        <v>0</v>
      </c>
      <c r="W45" s="205">
        <f t="shared" si="27"/>
        <v>116470192.3076923</v>
      </c>
      <c r="X45" s="205">
        <f t="shared" si="27"/>
        <v>62417668.269230776</v>
      </c>
      <c r="Y45" s="205">
        <f t="shared" si="27"/>
        <v>2753437.5000000005</v>
      </c>
      <c r="Z45" s="205">
        <f t="shared" si="27"/>
        <v>25309374.999999996</v>
      </c>
      <c r="AA45" s="205">
        <f t="shared" si="27"/>
        <v>12615384.615384616</v>
      </c>
      <c r="AB45" s="205">
        <f t="shared" si="27"/>
        <v>6543269.230769231</v>
      </c>
      <c r="AC45" s="205">
        <f t="shared" si="27"/>
        <v>1571153.846153846</v>
      </c>
      <c r="AD45" s="205">
        <f t="shared" si="27"/>
        <v>1759615.3846153845</v>
      </c>
      <c r="AE45" s="205">
        <f t="shared" si="27"/>
        <v>7394230.769230769</v>
      </c>
      <c r="AF45" s="205">
        <f t="shared" si="27"/>
        <v>15428846.153846154</v>
      </c>
      <c r="AG45" s="205">
        <f t="shared" si="27"/>
        <v>4557103.365384615</v>
      </c>
      <c r="AH45" s="205">
        <f t="shared" si="27"/>
        <v>256820276.44230765</v>
      </c>
      <c r="AI45" s="205">
        <f t="shared" si="27"/>
        <v>0</v>
      </c>
      <c r="AJ45" s="205">
        <f t="shared" si="27"/>
        <v>0</v>
      </c>
      <c r="AK45" s="205">
        <f t="shared" si="27"/>
        <v>0</v>
      </c>
      <c r="AL45" s="205">
        <f t="shared" si="27"/>
        <v>473000000</v>
      </c>
      <c r="AM45" s="205">
        <f t="shared" si="27"/>
        <v>0</v>
      </c>
      <c r="AN45" s="205">
        <f t="shared" si="27"/>
        <v>507684326.92307687</v>
      </c>
      <c r="AO45" s="205"/>
      <c r="AP45" s="205">
        <f t="shared" si="27"/>
        <v>42409.855769230802</v>
      </c>
      <c r="AQ45" s="205">
        <f t="shared" si="27"/>
        <v>192548.07692307691</v>
      </c>
      <c r="AR45" s="205">
        <f t="shared" si="27"/>
        <v>0</v>
      </c>
      <c r="AS45" s="205">
        <f t="shared" si="27"/>
        <v>50000</v>
      </c>
      <c r="AT45" s="205">
        <f t="shared" si="27"/>
        <v>242548.07692307691</v>
      </c>
      <c r="AU45" s="205">
        <f t="shared" si="27"/>
        <v>256577728.36538455</v>
      </c>
    </row>
    <row r="46" spans="1:47" ht="15.75" x14ac:dyDescent="0.25">
      <c r="A46" s="212">
        <v>36</v>
      </c>
      <c r="B46" s="72" t="s">
        <v>346</v>
      </c>
      <c r="C46" s="73" t="s">
        <v>347</v>
      </c>
      <c r="D46" s="72">
        <v>26</v>
      </c>
      <c r="E46" s="131">
        <f>SUM(F46:L46)</f>
        <v>8500000</v>
      </c>
      <c r="F46" s="126">
        <v>4450000</v>
      </c>
      <c r="G46" s="126">
        <v>500000</v>
      </c>
      <c r="H46" s="126">
        <v>250000</v>
      </c>
      <c r="I46" s="126">
        <v>500000</v>
      </c>
      <c r="J46" s="126">
        <v>1000000</v>
      </c>
      <c r="K46" s="126">
        <v>600000</v>
      </c>
      <c r="L46" s="126">
        <v>1200000</v>
      </c>
      <c r="M46" s="213">
        <f>'BẢNG CHẤM CÔNG T3'!D46</f>
        <v>26</v>
      </c>
      <c r="N46" s="213">
        <f>'BẢNG CHẤM CÔNG T3'!E46</f>
        <v>104.5</v>
      </c>
      <c r="O46" s="213">
        <f>'BẢNG CHẤM CÔNG T3'!F46</f>
        <v>8</v>
      </c>
      <c r="P46" s="213">
        <f>'BẢNG CHẤM CÔNG T3'!G46</f>
        <v>1.5</v>
      </c>
      <c r="Q46" s="213">
        <f>'BẢNG CHẤM CÔNG T3'!H46</f>
        <v>44</v>
      </c>
      <c r="R46" s="213">
        <f>'BẢNG CHẤM CÔNG T3'!I46</f>
        <v>0</v>
      </c>
      <c r="S46" s="213">
        <f>'BẢNG CHẤM CÔNG T3'!J46</f>
        <v>0</v>
      </c>
      <c r="T46" s="213">
        <f>'BẢNG CHẤM CÔNG T3'!K46</f>
        <v>0</v>
      </c>
      <c r="U46" s="213">
        <f>'BẢNG CHẤM CÔNG T3'!L46</f>
        <v>0</v>
      </c>
      <c r="V46" s="213">
        <f>'BẢNG CHẤM CÔNG T3'!M46</f>
        <v>0</v>
      </c>
      <c r="W46" s="214">
        <f t="shared" si="4"/>
        <v>4450000</v>
      </c>
      <c r="X46" s="214">
        <f t="shared" si="5"/>
        <v>3353545.673076923</v>
      </c>
      <c r="Y46" s="214">
        <f t="shared" si="23"/>
        <v>308076.92307692306</v>
      </c>
      <c r="Z46" s="214">
        <f>F46/D46/8*Q46*2</f>
        <v>1882692.3076923077</v>
      </c>
      <c r="AA46" s="214">
        <f t="shared" si="8"/>
        <v>500000</v>
      </c>
      <c r="AB46" s="214">
        <f t="shared" si="24"/>
        <v>250000</v>
      </c>
      <c r="AC46" s="214">
        <f t="shared" si="10"/>
        <v>500000</v>
      </c>
      <c r="AD46" s="214">
        <f t="shared" si="11"/>
        <v>1000000</v>
      </c>
      <c r="AE46" s="214">
        <f>K46/D46*M46</f>
        <v>600000</v>
      </c>
      <c r="AF46" s="214">
        <f t="shared" si="17"/>
        <v>1200000</v>
      </c>
      <c r="AG46" s="214"/>
      <c r="AH46" s="215">
        <f t="shared" si="18"/>
        <v>14044314.903846154</v>
      </c>
      <c r="AI46" s="214"/>
      <c r="AJ46" s="214"/>
      <c r="AK46" s="214"/>
      <c r="AL46" s="214">
        <v>11000000</v>
      </c>
      <c r="AM46" s="214">
        <f t="shared" si="12"/>
        <v>0</v>
      </c>
      <c r="AN46" s="132">
        <f t="shared" si="19"/>
        <v>13196117.788461538</v>
      </c>
      <c r="AO46" s="214">
        <f t="shared" si="13"/>
        <v>848197.11538461596</v>
      </c>
      <c r="AP46" s="204">
        <f t="shared" ref="AP46:AP88" si="28">IF($A46="",0,IF(AO46&lt;=0,0,IF(AO46&lt;=5000000,AO46*$AW$3,IF(AO46&lt;=10000000,$AW$2*$AW$3+(AO46-$AW$2)*$AX$3,IF(AO46&lt;18000000,$AW$2*$AW$3+$AW$2*$AX$3+(AO46-$AX$2)*$AY$3,IF(AO46&lt;=32000000,$AW$2*$AW$3+$AW$2*$AX$3+$AY$2*$AY$3+(AO46-$AZ$2)*$BA$3))))))</f>
        <v>42409.855769230802</v>
      </c>
      <c r="AQ46" s="214">
        <f t="shared" ref="AQ46:AQ88" si="29">F46/D46/8*P46</f>
        <v>32091.346153846156</v>
      </c>
      <c r="AR46" s="214"/>
      <c r="AS46" s="214"/>
      <c r="AT46" s="197">
        <f>AI46+AJ46+SUM(AQ46:AS46)</f>
        <v>32091.346153846156</v>
      </c>
      <c r="AU46" s="216">
        <f>AH46-AT46</f>
        <v>14012223.557692308</v>
      </c>
    </row>
    <row r="47" spans="1:47" ht="15.75" x14ac:dyDescent="0.25">
      <c r="A47" s="212">
        <v>37</v>
      </c>
      <c r="B47" s="72" t="s">
        <v>106</v>
      </c>
      <c r="C47" s="73" t="s">
        <v>107</v>
      </c>
      <c r="D47" s="72">
        <v>26</v>
      </c>
      <c r="E47" s="131">
        <f t="shared" ref="E47:E88" si="30">SUM(F47:L47)</f>
        <v>7500000</v>
      </c>
      <c r="F47" s="126">
        <v>4450000</v>
      </c>
      <c r="G47" s="126"/>
      <c r="H47" s="126">
        <v>250000</v>
      </c>
      <c r="I47" s="126">
        <v>500000</v>
      </c>
      <c r="J47" s="126">
        <v>500000</v>
      </c>
      <c r="K47" s="126">
        <v>300000</v>
      </c>
      <c r="L47" s="126">
        <v>1500000</v>
      </c>
      <c r="M47" s="213">
        <f>'BẢNG CHẤM CÔNG T3'!D47</f>
        <v>24.5</v>
      </c>
      <c r="N47" s="213">
        <f>'BẢNG CHẤM CÔNG T3'!E47</f>
        <v>94.5</v>
      </c>
      <c r="O47" s="213">
        <f>'BẢNG CHẤM CÔNG T3'!F47</f>
        <v>12</v>
      </c>
      <c r="P47" s="213">
        <f>'BẢNG CHẤM CÔNG T3'!G47</f>
        <v>0</v>
      </c>
      <c r="Q47" s="213">
        <f>'BẢNG CHẤM CÔNG T3'!H47</f>
        <v>29.5</v>
      </c>
      <c r="R47" s="213">
        <f>'BẢNG CHẤM CÔNG T3'!I47</f>
        <v>0</v>
      </c>
      <c r="S47" s="213">
        <f>'BẢNG CHẤM CÔNG T3'!J47</f>
        <v>1</v>
      </c>
      <c r="T47" s="213">
        <f>'BẢNG CHẤM CÔNG T3'!K47</f>
        <v>0</v>
      </c>
      <c r="U47" s="213">
        <f>'BẢNG CHẤM CÔNG T3'!L47</f>
        <v>0</v>
      </c>
      <c r="V47" s="213">
        <f>'BẢNG CHẤM CÔNG T3'!M47</f>
        <v>0</v>
      </c>
      <c r="W47" s="214">
        <f t="shared" si="4"/>
        <v>4193269.230769231</v>
      </c>
      <c r="X47" s="214">
        <f t="shared" si="5"/>
        <v>3032632.2115384615</v>
      </c>
      <c r="Y47" s="214">
        <f t="shared" si="23"/>
        <v>462115.38461538468</v>
      </c>
      <c r="Z47" s="214">
        <f t="shared" ref="Z47:Z92" si="31">F47/D47/8*Q47*2</f>
        <v>1262259.6153846155</v>
      </c>
      <c r="AA47" s="214">
        <f t="shared" si="8"/>
        <v>0</v>
      </c>
      <c r="AB47" s="214">
        <f t="shared" si="24"/>
        <v>235576.92307692306</v>
      </c>
      <c r="AC47" s="214">
        <f t="shared" si="10"/>
        <v>471153.84615384613</v>
      </c>
      <c r="AD47" s="214">
        <f t="shared" si="11"/>
        <v>471153.84615384613</v>
      </c>
      <c r="AE47" s="214">
        <f t="shared" ref="AE47:AE88" si="32">K47/D47*M47</f>
        <v>282692.30769230769</v>
      </c>
      <c r="AF47" s="214">
        <f t="shared" si="17"/>
        <v>1413461.5384615385</v>
      </c>
      <c r="AG47" s="214"/>
      <c r="AH47" s="215">
        <f t="shared" si="18"/>
        <v>11824314.903846154</v>
      </c>
      <c r="AI47" s="214"/>
      <c r="AJ47" s="214"/>
      <c r="AK47" s="214"/>
      <c r="AL47" s="214">
        <v>11000000</v>
      </c>
      <c r="AM47" s="214">
        <f t="shared" si="12"/>
        <v>0</v>
      </c>
      <c r="AN47" s="132">
        <f t="shared" si="19"/>
        <v>12847391.826923076</v>
      </c>
      <c r="AO47" s="214">
        <f t="shared" si="13"/>
        <v>-1023076.9230769221</v>
      </c>
      <c r="AP47" s="204">
        <f t="shared" si="28"/>
        <v>0</v>
      </c>
      <c r="AQ47" s="214">
        <f t="shared" si="29"/>
        <v>0</v>
      </c>
      <c r="AR47" s="214"/>
      <c r="AS47" s="214"/>
      <c r="AT47" s="197">
        <f t="shared" ref="AT47:AT88" si="33">AP47+AI47+AJ47+SUM(AQ47:AS47)</f>
        <v>0</v>
      </c>
      <c r="AU47" s="216">
        <f t="shared" ref="AU47:AU88" si="34">AH47-AT47</f>
        <v>11824314.903846154</v>
      </c>
    </row>
    <row r="48" spans="1:47" ht="15.75" x14ac:dyDescent="0.25">
      <c r="A48" s="212">
        <v>38</v>
      </c>
      <c r="B48" s="72" t="s">
        <v>108</v>
      </c>
      <c r="C48" s="73" t="s">
        <v>109</v>
      </c>
      <c r="D48" s="72">
        <v>26</v>
      </c>
      <c r="E48" s="131">
        <f t="shared" si="30"/>
        <v>7500000</v>
      </c>
      <c r="F48" s="126">
        <v>4450000</v>
      </c>
      <c r="G48" s="126">
        <v>500000</v>
      </c>
      <c r="H48" s="126">
        <v>250000</v>
      </c>
      <c r="I48" s="126">
        <v>300000</v>
      </c>
      <c r="J48" s="126"/>
      <c r="K48" s="126">
        <v>500000</v>
      </c>
      <c r="L48" s="126">
        <v>1500000</v>
      </c>
      <c r="M48" s="213">
        <f>'BẢNG CHẤM CÔNG T3'!D48</f>
        <v>26</v>
      </c>
      <c r="N48" s="213">
        <f>'BẢNG CHẤM CÔNG T3'!E48</f>
        <v>100</v>
      </c>
      <c r="O48" s="213">
        <f>'BẢNG CHẤM CÔNG T3'!F48</f>
        <v>5</v>
      </c>
      <c r="P48" s="213">
        <f>'BẢNG CHẤM CÔNG T3'!G48</f>
        <v>0</v>
      </c>
      <c r="Q48" s="213">
        <f>'BẢNG CHẤM CÔNG T3'!H48</f>
        <v>43</v>
      </c>
      <c r="R48" s="213">
        <f>'BẢNG CHẤM CÔNG T3'!I48</f>
        <v>0</v>
      </c>
      <c r="S48" s="213">
        <f>'BẢNG CHẤM CÔNG T3'!J48</f>
        <v>0</v>
      </c>
      <c r="T48" s="213">
        <f>'BẢNG CHẤM CÔNG T3'!K48</f>
        <v>0</v>
      </c>
      <c r="U48" s="213">
        <f>'BẢNG CHẤM CÔNG T3'!L48</f>
        <v>0</v>
      </c>
      <c r="V48" s="213">
        <f>'BẢNG CHẤM CÔNG T3'!M48</f>
        <v>0</v>
      </c>
      <c r="W48" s="214">
        <f t="shared" si="4"/>
        <v>4450000</v>
      </c>
      <c r="X48" s="214">
        <f t="shared" si="5"/>
        <v>3209134.6153846155</v>
      </c>
      <c r="Y48" s="214">
        <f t="shared" si="23"/>
        <v>192548.07692307694</v>
      </c>
      <c r="Z48" s="214">
        <f t="shared" si="31"/>
        <v>1839903.8461538462</v>
      </c>
      <c r="AA48" s="214">
        <f t="shared" si="8"/>
        <v>500000</v>
      </c>
      <c r="AB48" s="214">
        <f t="shared" si="24"/>
        <v>250000</v>
      </c>
      <c r="AC48" s="214">
        <f t="shared" si="10"/>
        <v>300000</v>
      </c>
      <c r="AD48" s="214">
        <f t="shared" si="11"/>
        <v>0</v>
      </c>
      <c r="AE48" s="214">
        <f t="shared" si="32"/>
        <v>500000</v>
      </c>
      <c r="AF48" s="214">
        <f t="shared" si="17"/>
        <v>1500000</v>
      </c>
      <c r="AG48" s="214"/>
      <c r="AH48" s="215">
        <f t="shared" si="18"/>
        <v>12741586.53846154</v>
      </c>
      <c r="AI48" s="214"/>
      <c r="AJ48" s="214"/>
      <c r="AK48" s="214"/>
      <c r="AL48" s="214">
        <v>11000000</v>
      </c>
      <c r="AM48" s="214">
        <f t="shared" si="12"/>
        <v>0</v>
      </c>
      <c r="AN48" s="132">
        <f t="shared" si="19"/>
        <v>13075240.384615384</v>
      </c>
      <c r="AO48" s="214">
        <f t="shared" si="13"/>
        <v>-333653.84615384415</v>
      </c>
      <c r="AP48" s="204">
        <f t="shared" si="28"/>
        <v>0</v>
      </c>
      <c r="AQ48" s="214">
        <f t="shared" si="29"/>
        <v>0</v>
      </c>
      <c r="AR48" s="214"/>
      <c r="AS48" s="214"/>
      <c r="AT48" s="197">
        <f t="shared" si="33"/>
        <v>0</v>
      </c>
      <c r="AU48" s="216">
        <f t="shared" si="34"/>
        <v>12741586.53846154</v>
      </c>
    </row>
    <row r="49" spans="1:47" ht="15.75" x14ac:dyDescent="0.25">
      <c r="A49" s="212">
        <v>39</v>
      </c>
      <c r="B49" s="72" t="s">
        <v>110</v>
      </c>
      <c r="C49" s="73" t="s">
        <v>111</v>
      </c>
      <c r="D49" s="72">
        <v>26</v>
      </c>
      <c r="E49" s="131">
        <f t="shared" si="30"/>
        <v>7300000</v>
      </c>
      <c r="F49" s="126">
        <v>4450000</v>
      </c>
      <c r="G49" s="126">
        <v>500000</v>
      </c>
      <c r="H49" s="126">
        <v>250000</v>
      </c>
      <c r="I49" s="126">
        <v>300000</v>
      </c>
      <c r="J49" s="126"/>
      <c r="K49" s="126">
        <v>600000</v>
      </c>
      <c r="L49" s="126">
        <v>1200000</v>
      </c>
      <c r="M49" s="213">
        <f>'BẢNG CHẤM CÔNG T3'!D49</f>
        <v>26</v>
      </c>
      <c r="N49" s="213">
        <f>'BẢNG CHẤM CÔNG T3'!E49</f>
        <v>50.5</v>
      </c>
      <c r="O49" s="213">
        <f>'BẢNG CHẤM CÔNG T3'!F49</f>
        <v>0</v>
      </c>
      <c r="P49" s="213">
        <f>'BẢNG CHẤM CÔNG T3'!G49</f>
        <v>0</v>
      </c>
      <c r="Q49" s="213">
        <f>'BẢNG CHẤM CÔNG T3'!H49</f>
        <v>0</v>
      </c>
      <c r="R49" s="213">
        <f>'BẢNG CHẤM CÔNG T3'!I49</f>
        <v>0</v>
      </c>
      <c r="S49" s="213">
        <f>'BẢNG CHẤM CÔNG T3'!J49</f>
        <v>0</v>
      </c>
      <c r="T49" s="213">
        <f>'BẢNG CHẤM CÔNG T3'!K49</f>
        <v>0</v>
      </c>
      <c r="U49" s="213">
        <f>'BẢNG CHẤM CÔNG T3'!L49</f>
        <v>0</v>
      </c>
      <c r="V49" s="213">
        <f>'BẢNG CHẤM CÔNG T3'!M49</f>
        <v>0</v>
      </c>
      <c r="W49" s="214">
        <f t="shared" si="4"/>
        <v>4450000</v>
      </c>
      <c r="X49" s="214">
        <f t="shared" si="5"/>
        <v>1620612.9807692305</v>
      </c>
      <c r="Y49" s="214">
        <f t="shared" si="23"/>
        <v>0</v>
      </c>
      <c r="Z49" s="214">
        <f t="shared" si="31"/>
        <v>0</v>
      </c>
      <c r="AA49" s="214">
        <f t="shared" si="8"/>
        <v>500000</v>
      </c>
      <c r="AB49" s="214">
        <f t="shared" si="24"/>
        <v>250000</v>
      </c>
      <c r="AC49" s="214">
        <f t="shared" si="10"/>
        <v>300000</v>
      </c>
      <c r="AD49" s="214">
        <f t="shared" si="11"/>
        <v>0</v>
      </c>
      <c r="AE49" s="214">
        <f t="shared" si="32"/>
        <v>600000</v>
      </c>
      <c r="AF49" s="214">
        <f t="shared" si="17"/>
        <v>1200000</v>
      </c>
      <c r="AG49" s="214"/>
      <c r="AH49" s="215">
        <f t="shared" si="18"/>
        <v>8920612.9807692301</v>
      </c>
      <c r="AI49" s="214"/>
      <c r="AJ49" s="214"/>
      <c r="AK49" s="214"/>
      <c r="AL49" s="214">
        <v>11000000</v>
      </c>
      <c r="AM49" s="214">
        <f t="shared" si="12"/>
        <v>0</v>
      </c>
      <c r="AN49" s="132">
        <f t="shared" si="19"/>
        <v>11540204.326923076</v>
      </c>
      <c r="AO49" s="214">
        <f t="shared" si="13"/>
        <v>-2619591.346153846</v>
      </c>
      <c r="AP49" s="204">
        <f t="shared" si="28"/>
        <v>0</v>
      </c>
      <c r="AQ49" s="214">
        <f t="shared" si="29"/>
        <v>0</v>
      </c>
      <c r="AR49" s="214"/>
      <c r="AS49" s="214"/>
      <c r="AT49" s="197">
        <f t="shared" si="33"/>
        <v>0</v>
      </c>
      <c r="AU49" s="216">
        <f t="shared" si="34"/>
        <v>8920612.9807692301</v>
      </c>
    </row>
    <row r="50" spans="1:47" ht="15.75" x14ac:dyDescent="0.25">
      <c r="A50" s="212">
        <v>40</v>
      </c>
      <c r="B50" s="72" t="s">
        <v>112</v>
      </c>
      <c r="C50" s="73" t="s">
        <v>113</v>
      </c>
      <c r="D50" s="72">
        <v>26</v>
      </c>
      <c r="E50" s="131">
        <f t="shared" si="30"/>
        <v>6000000</v>
      </c>
      <c r="F50" s="126">
        <v>4450000</v>
      </c>
      <c r="G50" s="126">
        <v>500000</v>
      </c>
      <c r="H50" s="126">
        <v>250000</v>
      </c>
      <c r="I50" s="126"/>
      <c r="J50" s="126"/>
      <c r="K50" s="126">
        <v>300000</v>
      </c>
      <c r="L50" s="126">
        <v>500000</v>
      </c>
      <c r="M50" s="213">
        <f>'BẢNG CHẤM CÔNG T3'!D50</f>
        <v>25</v>
      </c>
      <c r="N50" s="213">
        <f>'BẢNG CHẤM CÔNG T3'!E50</f>
        <v>88.5</v>
      </c>
      <c r="O50" s="213">
        <f>'BẢNG CHẤM CÔNG T3'!F50</f>
        <v>5</v>
      </c>
      <c r="P50" s="213">
        <f>'BẢNG CHẤM CÔNG T3'!G50</f>
        <v>0</v>
      </c>
      <c r="Q50" s="213">
        <f>'BẢNG CHẤM CÔNG T3'!H50</f>
        <v>31</v>
      </c>
      <c r="R50" s="213">
        <f>'BẢNG CHẤM CÔNG T3'!I50</f>
        <v>0</v>
      </c>
      <c r="S50" s="213">
        <f>'BẢNG CHẤM CÔNG T3'!J50</f>
        <v>1</v>
      </c>
      <c r="T50" s="213">
        <f>'BẢNG CHẤM CÔNG T3'!K50</f>
        <v>0</v>
      </c>
      <c r="U50" s="213">
        <f>'BẢNG CHẤM CÔNG T3'!L50</f>
        <v>0</v>
      </c>
      <c r="V50" s="213">
        <f>'BẢNG CHẤM CÔNG T3'!M50</f>
        <v>0</v>
      </c>
      <c r="W50" s="214">
        <f t="shared" si="4"/>
        <v>4278846.153846154</v>
      </c>
      <c r="X50" s="214">
        <f t="shared" si="5"/>
        <v>2840084.1346153845</v>
      </c>
      <c r="Y50" s="214">
        <f t="shared" si="23"/>
        <v>192548.07692307694</v>
      </c>
      <c r="Z50" s="214">
        <f t="shared" si="31"/>
        <v>1326442.3076923077</v>
      </c>
      <c r="AA50" s="214">
        <f t="shared" si="8"/>
        <v>480769.23076923075</v>
      </c>
      <c r="AB50" s="214">
        <f t="shared" si="24"/>
        <v>240384.61538461538</v>
      </c>
      <c r="AC50" s="214">
        <f t="shared" si="10"/>
        <v>0</v>
      </c>
      <c r="AD50" s="214">
        <f t="shared" si="11"/>
        <v>0</v>
      </c>
      <c r="AE50" s="214">
        <f t="shared" si="32"/>
        <v>288461.5384615385</v>
      </c>
      <c r="AF50" s="214">
        <f t="shared" si="17"/>
        <v>480769.23076923075</v>
      </c>
      <c r="AG50" s="214">
        <v>1550793.2692307692</v>
      </c>
      <c r="AH50" s="215">
        <f t="shared" si="18"/>
        <v>11679098.557692306</v>
      </c>
      <c r="AI50" s="214"/>
      <c r="AJ50" s="214"/>
      <c r="AK50" s="214"/>
      <c r="AL50" s="214">
        <v>11000000</v>
      </c>
      <c r="AM50" s="214">
        <f t="shared" si="12"/>
        <v>0</v>
      </c>
      <c r="AN50" s="132">
        <f t="shared" si="19"/>
        <v>12695492.788461538</v>
      </c>
      <c r="AO50" s="214">
        <f t="shared" si="13"/>
        <v>-1016394.2307692319</v>
      </c>
      <c r="AP50" s="204">
        <f t="shared" si="28"/>
        <v>0</v>
      </c>
      <c r="AQ50" s="214">
        <f t="shared" si="29"/>
        <v>0</v>
      </c>
      <c r="AR50" s="214"/>
      <c r="AS50" s="214"/>
      <c r="AT50" s="197">
        <f t="shared" si="33"/>
        <v>0</v>
      </c>
      <c r="AU50" s="216">
        <f t="shared" si="34"/>
        <v>11679098.557692306</v>
      </c>
    </row>
    <row r="51" spans="1:47" ht="15.75" x14ac:dyDescent="0.25">
      <c r="A51" s="212">
        <v>41</v>
      </c>
      <c r="B51" s="72" t="s">
        <v>114</v>
      </c>
      <c r="C51" s="73" t="s">
        <v>115</v>
      </c>
      <c r="D51" s="72">
        <v>26</v>
      </c>
      <c r="E51" s="131">
        <f t="shared" si="30"/>
        <v>6000000</v>
      </c>
      <c r="F51" s="126">
        <v>4450000</v>
      </c>
      <c r="G51" s="126">
        <v>500000</v>
      </c>
      <c r="H51" s="126">
        <v>250000</v>
      </c>
      <c r="I51" s="126"/>
      <c r="J51" s="126"/>
      <c r="K51" s="126">
        <v>300000</v>
      </c>
      <c r="L51" s="126">
        <v>500000</v>
      </c>
      <c r="M51" s="213">
        <f>'BẢNG CHẤM CÔNG T3'!D51</f>
        <v>26</v>
      </c>
      <c r="N51" s="213">
        <f>'BẢNG CHẤM CÔNG T3'!E51</f>
        <v>80</v>
      </c>
      <c r="O51" s="213">
        <f>'BẢNG CHẤM CÔNG T3'!F51</f>
        <v>4.5</v>
      </c>
      <c r="P51" s="213">
        <f>'BẢNG CHẤM CÔNG T3'!G51</f>
        <v>0</v>
      </c>
      <c r="Q51" s="213">
        <f>'BẢNG CHẤM CÔNG T3'!H51</f>
        <v>21.5</v>
      </c>
      <c r="R51" s="213">
        <f>'BẢNG CHẤM CÔNG T3'!I51</f>
        <v>0</v>
      </c>
      <c r="S51" s="213">
        <f>'BẢNG CHẤM CÔNG T3'!J51</f>
        <v>0</v>
      </c>
      <c r="T51" s="213">
        <f>'BẢNG CHẤM CÔNG T3'!K51</f>
        <v>0</v>
      </c>
      <c r="U51" s="213">
        <f>'BẢNG CHẤM CÔNG T3'!L51</f>
        <v>0</v>
      </c>
      <c r="V51" s="213">
        <f>'BẢNG CHẤM CÔNG T3'!M51</f>
        <v>0</v>
      </c>
      <c r="W51" s="214">
        <f t="shared" si="4"/>
        <v>4450000</v>
      </c>
      <c r="X51" s="214">
        <f t="shared" si="5"/>
        <v>2567307.692307692</v>
      </c>
      <c r="Y51" s="214">
        <f t="shared" si="23"/>
        <v>173293.26923076925</v>
      </c>
      <c r="Z51" s="214">
        <f t="shared" si="31"/>
        <v>919951.92307692312</v>
      </c>
      <c r="AA51" s="214">
        <f t="shared" si="8"/>
        <v>500000</v>
      </c>
      <c r="AB51" s="214">
        <f t="shared" si="24"/>
        <v>250000</v>
      </c>
      <c r="AC51" s="214">
        <f t="shared" si="10"/>
        <v>0</v>
      </c>
      <c r="AD51" s="214">
        <f t="shared" si="11"/>
        <v>0</v>
      </c>
      <c r="AE51" s="214">
        <f t="shared" si="32"/>
        <v>300000</v>
      </c>
      <c r="AF51" s="214">
        <f t="shared" si="17"/>
        <v>500000</v>
      </c>
      <c r="AG51" s="214"/>
      <c r="AH51" s="215">
        <f t="shared" si="18"/>
        <v>9660552.884615384</v>
      </c>
      <c r="AI51" s="214"/>
      <c r="AJ51" s="214"/>
      <c r="AK51" s="214"/>
      <c r="AL51" s="214">
        <v>11000000</v>
      </c>
      <c r="AM51" s="214">
        <f t="shared" si="12"/>
        <v>0</v>
      </c>
      <c r="AN51" s="132">
        <f t="shared" si="19"/>
        <v>12392764.423076924</v>
      </c>
      <c r="AO51" s="214">
        <f t="shared" si="13"/>
        <v>-2732211.5384615399</v>
      </c>
      <c r="AP51" s="204">
        <f t="shared" si="28"/>
        <v>0</v>
      </c>
      <c r="AQ51" s="214">
        <f t="shared" si="29"/>
        <v>0</v>
      </c>
      <c r="AR51" s="214"/>
      <c r="AS51" s="214"/>
      <c r="AT51" s="197">
        <f t="shared" si="33"/>
        <v>0</v>
      </c>
      <c r="AU51" s="216">
        <f t="shared" si="34"/>
        <v>9660552.884615384</v>
      </c>
    </row>
    <row r="52" spans="1:47" ht="15.75" x14ac:dyDescent="0.25">
      <c r="A52" s="212">
        <v>42</v>
      </c>
      <c r="B52" s="72" t="s">
        <v>116</v>
      </c>
      <c r="C52" s="73" t="s">
        <v>117</v>
      </c>
      <c r="D52" s="72">
        <v>26</v>
      </c>
      <c r="E52" s="131">
        <f t="shared" si="30"/>
        <v>6000000</v>
      </c>
      <c r="F52" s="126">
        <v>4450000</v>
      </c>
      <c r="G52" s="126">
        <v>500000</v>
      </c>
      <c r="H52" s="126">
        <v>250000</v>
      </c>
      <c r="I52" s="126"/>
      <c r="J52" s="126"/>
      <c r="K52" s="126">
        <v>300000</v>
      </c>
      <c r="L52" s="126">
        <v>500000</v>
      </c>
      <c r="M52" s="213">
        <f>'BẢNG CHẤM CÔNG T3'!D52</f>
        <v>25</v>
      </c>
      <c r="N52" s="213">
        <f>'BẢNG CHẤM CÔNG T3'!E52</f>
        <v>67.5</v>
      </c>
      <c r="O52" s="213">
        <f>'BẢNG CHẤM CÔNG T3'!F52</f>
        <v>0.5</v>
      </c>
      <c r="P52" s="213">
        <f>'BẢNG CHẤM CÔNG T3'!G52</f>
        <v>0</v>
      </c>
      <c r="Q52" s="213">
        <f>'BẢNG CHẤM CÔNG T3'!H52</f>
        <v>28</v>
      </c>
      <c r="R52" s="213">
        <f>'BẢNG CHẤM CÔNG T3'!I52</f>
        <v>0</v>
      </c>
      <c r="S52" s="213">
        <f>'BẢNG CHẤM CÔNG T3'!J52</f>
        <v>1</v>
      </c>
      <c r="T52" s="213">
        <f>'BẢNG CHẤM CÔNG T3'!K52</f>
        <v>0</v>
      </c>
      <c r="U52" s="213">
        <f>'BẢNG CHẤM CÔNG T3'!L52</f>
        <v>0</v>
      </c>
      <c r="V52" s="213">
        <f>'BẢNG CHẤM CÔNG T3'!M52</f>
        <v>0</v>
      </c>
      <c r="W52" s="214">
        <f t="shared" si="4"/>
        <v>4278846.153846154</v>
      </c>
      <c r="X52" s="214">
        <f t="shared" si="5"/>
        <v>2166165.8653846155</v>
      </c>
      <c r="Y52" s="214">
        <f t="shared" si="23"/>
        <v>19254.807692307691</v>
      </c>
      <c r="Z52" s="214">
        <f t="shared" si="31"/>
        <v>1198076.923076923</v>
      </c>
      <c r="AA52" s="214">
        <f t="shared" si="8"/>
        <v>480769.23076923075</v>
      </c>
      <c r="AB52" s="214">
        <f t="shared" si="24"/>
        <v>240384.61538461538</v>
      </c>
      <c r="AC52" s="214">
        <f t="shared" si="10"/>
        <v>0</v>
      </c>
      <c r="AD52" s="214">
        <f t="shared" si="11"/>
        <v>0</v>
      </c>
      <c r="AE52" s="214">
        <f t="shared" si="32"/>
        <v>288461.5384615385</v>
      </c>
      <c r="AF52" s="214">
        <f t="shared" si="17"/>
        <v>480769.23076923075</v>
      </c>
      <c r="AG52" s="214"/>
      <c r="AH52" s="215">
        <f t="shared" si="18"/>
        <v>9152728.365384616</v>
      </c>
      <c r="AI52" s="214"/>
      <c r="AJ52" s="214"/>
      <c r="AK52" s="214"/>
      <c r="AL52" s="214">
        <v>11000000</v>
      </c>
      <c r="AM52" s="214">
        <f t="shared" si="12"/>
        <v>0</v>
      </c>
      <c r="AN52" s="132">
        <f t="shared" si="19"/>
        <v>12329651.442307692</v>
      </c>
      <c r="AO52" s="214">
        <f t="shared" si="13"/>
        <v>-3176923.0769230761</v>
      </c>
      <c r="AP52" s="204">
        <f t="shared" si="28"/>
        <v>0</v>
      </c>
      <c r="AQ52" s="214">
        <f t="shared" si="29"/>
        <v>0</v>
      </c>
      <c r="AR52" s="214"/>
      <c r="AS52" s="214"/>
      <c r="AT52" s="197">
        <f t="shared" si="33"/>
        <v>0</v>
      </c>
      <c r="AU52" s="216">
        <f t="shared" si="34"/>
        <v>9152728.365384616</v>
      </c>
    </row>
    <row r="53" spans="1:47" ht="15.75" x14ac:dyDescent="0.25">
      <c r="A53" s="212">
        <v>43</v>
      </c>
      <c r="B53" s="72" t="s">
        <v>118</v>
      </c>
      <c r="C53" s="73" t="s">
        <v>119</v>
      </c>
      <c r="D53" s="72">
        <v>26</v>
      </c>
      <c r="E53" s="131">
        <f t="shared" si="30"/>
        <v>6000000</v>
      </c>
      <c r="F53" s="126">
        <v>4450000</v>
      </c>
      <c r="G53" s="126">
        <v>500000</v>
      </c>
      <c r="H53" s="126">
        <v>250000</v>
      </c>
      <c r="I53" s="126"/>
      <c r="J53" s="126"/>
      <c r="K53" s="126">
        <v>300000</v>
      </c>
      <c r="L53" s="126">
        <v>500000</v>
      </c>
      <c r="M53" s="213">
        <f>'BẢNG CHẤM CÔNG T3'!D53</f>
        <v>26</v>
      </c>
      <c r="N53" s="213">
        <f>'BẢNG CHẤM CÔNG T3'!E53</f>
        <v>72</v>
      </c>
      <c r="O53" s="213">
        <f>'BẢNG CHẤM CÔNG T3'!F53</f>
        <v>0.5</v>
      </c>
      <c r="P53" s="213">
        <f>'BẢNG CHẤM CÔNG T3'!G53</f>
        <v>0</v>
      </c>
      <c r="Q53" s="213">
        <f>'BẢNG CHẤM CÔNG T3'!H53</f>
        <v>29.5</v>
      </c>
      <c r="R53" s="213">
        <f>'BẢNG CHẤM CÔNG T3'!I53</f>
        <v>0</v>
      </c>
      <c r="S53" s="213">
        <f>'BẢNG CHẤM CÔNG T3'!J53</f>
        <v>0</v>
      </c>
      <c r="T53" s="213">
        <f>'BẢNG CHẤM CÔNG T3'!K53</f>
        <v>0</v>
      </c>
      <c r="U53" s="213">
        <f>'BẢNG CHẤM CÔNG T3'!L53</f>
        <v>0</v>
      </c>
      <c r="V53" s="213">
        <f>'BẢNG CHẤM CÔNG T3'!M53</f>
        <v>0</v>
      </c>
      <c r="W53" s="214">
        <f t="shared" si="4"/>
        <v>4450000</v>
      </c>
      <c r="X53" s="214">
        <f t="shared" si="5"/>
        <v>2310576.923076923</v>
      </c>
      <c r="Y53" s="214">
        <f t="shared" si="23"/>
        <v>19254.807692307691</v>
      </c>
      <c r="Z53" s="214">
        <f t="shared" si="31"/>
        <v>1262259.6153846155</v>
      </c>
      <c r="AA53" s="214">
        <f t="shared" si="8"/>
        <v>500000</v>
      </c>
      <c r="AB53" s="214">
        <f t="shared" si="24"/>
        <v>250000</v>
      </c>
      <c r="AC53" s="214">
        <f t="shared" si="10"/>
        <v>0</v>
      </c>
      <c r="AD53" s="214">
        <f t="shared" si="11"/>
        <v>0</v>
      </c>
      <c r="AE53" s="214">
        <f t="shared" si="32"/>
        <v>300000</v>
      </c>
      <c r="AF53" s="214">
        <f t="shared" si="17"/>
        <v>500000</v>
      </c>
      <c r="AG53" s="214"/>
      <c r="AH53" s="215">
        <f t="shared" si="18"/>
        <v>9592091.346153846</v>
      </c>
      <c r="AI53" s="214"/>
      <c r="AJ53" s="214"/>
      <c r="AK53" s="214"/>
      <c r="AL53" s="214">
        <v>11000000</v>
      </c>
      <c r="AM53" s="214">
        <f t="shared" si="12"/>
        <v>0</v>
      </c>
      <c r="AN53" s="132">
        <f t="shared" si="19"/>
        <v>12409879.807692308</v>
      </c>
      <c r="AO53" s="214">
        <f t="shared" si="13"/>
        <v>-2817788.461538462</v>
      </c>
      <c r="AP53" s="204">
        <f t="shared" si="28"/>
        <v>0</v>
      </c>
      <c r="AQ53" s="214">
        <f t="shared" si="29"/>
        <v>0</v>
      </c>
      <c r="AR53" s="214"/>
      <c r="AS53" s="214"/>
      <c r="AT53" s="197">
        <f t="shared" si="33"/>
        <v>0</v>
      </c>
      <c r="AU53" s="216">
        <f t="shared" si="34"/>
        <v>9592091.346153846</v>
      </c>
    </row>
    <row r="54" spans="1:47" ht="15.75" x14ac:dyDescent="0.25">
      <c r="A54" s="212">
        <v>44</v>
      </c>
      <c r="B54" s="72" t="s">
        <v>120</v>
      </c>
      <c r="C54" s="73" t="s">
        <v>515</v>
      </c>
      <c r="D54" s="72">
        <v>26</v>
      </c>
      <c r="E54" s="131">
        <f t="shared" si="30"/>
        <v>6000000</v>
      </c>
      <c r="F54" s="126">
        <v>4450000</v>
      </c>
      <c r="G54" s="126">
        <v>500000</v>
      </c>
      <c r="H54" s="126">
        <v>250000</v>
      </c>
      <c r="I54" s="126"/>
      <c r="J54" s="126"/>
      <c r="K54" s="126">
        <v>300000</v>
      </c>
      <c r="L54" s="126">
        <v>500000</v>
      </c>
      <c r="M54" s="213">
        <f>'BẢNG CHẤM CÔNG T3'!D54</f>
        <v>26</v>
      </c>
      <c r="N54" s="213">
        <f>'BẢNG CHẤM CÔNG T3'!E54</f>
        <v>65.5</v>
      </c>
      <c r="O54" s="213">
        <f>'BẢNG CHẤM CÔNG T3'!F54</f>
        <v>0</v>
      </c>
      <c r="P54" s="213">
        <f>'BẢNG CHẤM CÔNG T3'!G54</f>
        <v>0</v>
      </c>
      <c r="Q54" s="213">
        <f>'BẢNG CHẤM CÔNG T3'!H54</f>
        <v>0</v>
      </c>
      <c r="R54" s="213">
        <f>'BẢNG CHẤM CÔNG T3'!I54</f>
        <v>0</v>
      </c>
      <c r="S54" s="213">
        <f>'BẢNG CHẤM CÔNG T3'!J54</f>
        <v>0</v>
      </c>
      <c r="T54" s="213">
        <f>'BẢNG CHẤM CÔNG T3'!K54</f>
        <v>0</v>
      </c>
      <c r="U54" s="213">
        <f>'BẢNG CHẤM CÔNG T3'!L54</f>
        <v>0</v>
      </c>
      <c r="V54" s="213">
        <f>'BẢNG CHẤM CÔNG T3'!M54</f>
        <v>0</v>
      </c>
      <c r="W54" s="214">
        <f t="shared" si="4"/>
        <v>4450000</v>
      </c>
      <c r="X54" s="214">
        <f t="shared" si="5"/>
        <v>2101983.173076923</v>
      </c>
      <c r="Y54" s="214">
        <f t="shared" si="23"/>
        <v>0</v>
      </c>
      <c r="Z54" s="214">
        <f t="shared" si="31"/>
        <v>0</v>
      </c>
      <c r="AA54" s="214">
        <f t="shared" si="8"/>
        <v>500000</v>
      </c>
      <c r="AB54" s="214">
        <f t="shared" si="24"/>
        <v>250000</v>
      </c>
      <c r="AC54" s="214">
        <f t="shared" si="10"/>
        <v>0</v>
      </c>
      <c r="AD54" s="214">
        <f t="shared" si="11"/>
        <v>0</v>
      </c>
      <c r="AE54" s="214">
        <f t="shared" si="32"/>
        <v>300000</v>
      </c>
      <c r="AF54" s="214">
        <f t="shared" si="17"/>
        <v>500000</v>
      </c>
      <c r="AG54" s="214"/>
      <c r="AH54" s="215">
        <f t="shared" si="18"/>
        <v>8101983.173076923</v>
      </c>
      <c r="AI54" s="214"/>
      <c r="AJ54" s="214"/>
      <c r="AK54" s="214"/>
      <c r="AL54" s="214">
        <v>11000000</v>
      </c>
      <c r="AM54" s="214">
        <f t="shared" si="12"/>
        <v>0</v>
      </c>
      <c r="AN54" s="132">
        <f t="shared" si="19"/>
        <v>11700661.057692308</v>
      </c>
      <c r="AO54" s="214">
        <f t="shared" si="13"/>
        <v>-3598677.884615385</v>
      </c>
      <c r="AP54" s="204">
        <f t="shared" si="28"/>
        <v>0</v>
      </c>
      <c r="AQ54" s="214">
        <f t="shared" si="29"/>
        <v>0</v>
      </c>
      <c r="AR54" s="214"/>
      <c r="AS54" s="214">
        <v>50000</v>
      </c>
      <c r="AT54" s="197">
        <f t="shared" si="33"/>
        <v>50000</v>
      </c>
      <c r="AU54" s="216">
        <f t="shared" si="34"/>
        <v>8051983.173076923</v>
      </c>
    </row>
    <row r="55" spans="1:47" ht="15.75" x14ac:dyDescent="0.25">
      <c r="A55" s="212">
        <v>45</v>
      </c>
      <c r="B55" s="72" t="s">
        <v>122</v>
      </c>
      <c r="C55" s="73" t="s">
        <v>123</v>
      </c>
      <c r="D55" s="72">
        <v>26</v>
      </c>
      <c r="E55" s="131">
        <f t="shared" si="30"/>
        <v>6000000</v>
      </c>
      <c r="F55" s="126">
        <v>4450000</v>
      </c>
      <c r="G55" s="126">
        <v>500000</v>
      </c>
      <c r="H55" s="126">
        <v>250000</v>
      </c>
      <c r="I55" s="126"/>
      <c r="J55" s="126"/>
      <c r="K55" s="126">
        <v>300000</v>
      </c>
      <c r="L55" s="126">
        <v>500000</v>
      </c>
      <c r="M55" s="213">
        <f>'BẢNG CHẤM CÔNG T3'!D55</f>
        <v>25</v>
      </c>
      <c r="N55" s="213">
        <f>'BẢNG CHẤM CÔNG T3'!E55</f>
        <v>64.5</v>
      </c>
      <c r="O55" s="213">
        <f>'BẢNG CHẤM CÔNG T3'!F55</f>
        <v>0</v>
      </c>
      <c r="P55" s="213">
        <f>'BẢNG CHẤM CÔNG T3'!G55</f>
        <v>0</v>
      </c>
      <c r="Q55" s="213">
        <f>'BẢNG CHẤM CÔNG T3'!H55</f>
        <v>5.5</v>
      </c>
      <c r="R55" s="213">
        <f>'BẢNG CHẤM CÔNG T3'!I55</f>
        <v>0</v>
      </c>
      <c r="S55" s="213">
        <f>'BẢNG CHẤM CÔNG T3'!J55</f>
        <v>1</v>
      </c>
      <c r="T55" s="213">
        <f>'BẢNG CHẤM CÔNG T3'!K55</f>
        <v>0</v>
      </c>
      <c r="U55" s="213">
        <f>'BẢNG CHẤM CÔNG T3'!L55</f>
        <v>0</v>
      </c>
      <c r="V55" s="213">
        <f>'BẢNG CHẤM CÔNG T3'!M55</f>
        <v>0</v>
      </c>
      <c r="W55" s="214">
        <f t="shared" si="4"/>
        <v>4278846.153846154</v>
      </c>
      <c r="X55" s="214">
        <f t="shared" si="5"/>
        <v>2069891.826923077</v>
      </c>
      <c r="Y55" s="214">
        <f t="shared" si="23"/>
        <v>0</v>
      </c>
      <c r="Z55" s="214">
        <f t="shared" si="31"/>
        <v>235336.53846153847</v>
      </c>
      <c r="AA55" s="214">
        <f t="shared" si="8"/>
        <v>480769.23076923075</v>
      </c>
      <c r="AB55" s="214">
        <f t="shared" si="24"/>
        <v>240384.61538461538</v>
      </c>
      <c r="AC55" s="214">
        <f t="shared" si="10"/>
        <v>0</v>
      </c>
      <c r="AD55" s="214">
        <f t="shared" si="11"/>
        <v>0</v>
      </c>
      <c r="AE55" s="214">
        <f t="shared" si="32"/>
        <v>288461.5384615385</v>
      </c>
      <c r="AF55" s="214">
        <f t="shared" si="17"/>
        <v>480769.23076923075</v>
      </c>
      <c r="AG55" s="214">
        <v>1055588.942307692</v>
      </c>
      <c r="AH55" s="215">
        <f t="shared" si="18"/>
        <v>9130048.0769230761</v>
      </c>
      <c r="AI55" s="214"/>
      <c r="AJ55" s="214"/>
      <c r="AK55" s="214"/>
      <c r="AL55" s="214">
        <v>11000000</v>
      </c>
      <c r="AM55" s="214">
        <f t="shared" si="12"/>
        <v>0</v>
      </c>
      <c r="AN55" s="132">
        <f t="shared" si="19"/>
        <v>11807632.211538462</v>
      </c>
      <c r="AO55" s="214">
        <f t="shared" si="13"/>
        <v>-2677584.1346153859</v>
      </c>
      <c r="AP55" s="204">
        <f t="shared" si="28"/>
        <v>0</v>
      </c>
      <c r="AQ55" s="214">
        <f t="shared" si="29"/>
        <v>0</v>
      </c>
      <c r="AR55" s="214"/>
      <c r="AS55" s="214"/>
      <c r="AT55" s="197">
        <f t="shared" si="33"/>
        <v>0</v>
      </c>
      <c r="AU55" s="216">
        <f t="shared" si="34"/>
        <v>9130048.0769230761</v>
      </c>
    </row>
    <row r="56" spans="1:47" ht="15.75" x14ac:dyDescent="0.25">
      <c r="A56" s="212">
        <v>46</v>
      </c>
      <c r="B56" s="72" t="s">
        <v>124</v>
      </c>
      <c r="C56" s="73" t="s">
        <v>125</v>
      </c>
      <c r="D56" s="72">
        <v>26</v>
      </c>
      <c r="E56" s="131">
        <f t="shared" si="30"/>
        <v>6000000</v>
      </c>
      <c r="F56" s="126">
        <v>4450000</v>
      </c>
      <c r="G56" s="126">
        <v>500000</v>
      </c>
      <c r="H56" s="126">
        <v>250000</v>
      </c>
      <c r="I56" s="126"/>
      <c r="J56" s="126"/>
      <c r="K56" s="126">
        <v>300000</v>
      </c>
      <c r="L56" s="126">
        <v>500000</v>
      </c>
      <c r="M56" s="213">
        <f>'BẢNG CHẤM CÔNG T3'!D56</f>
        <v>25</v>
      </c>
      <c r="N56" s="213">
        <f>'BẢNG CHẤM CÔNG T3'!E56</f>
        <v>5</v>
      </c>
      <c r="O56" s="213">
        <f>'BẢNG CHẤM CÔNG T3'!F56</f>
        <v>0</v>
      </c>
      <c r="P56" s="213">
        <f>'BẢNG CHẤM CÔNG T3'!G56</f>
        <v>0</v>
      </c>
      <c r="Q56" s="213">
        <f>'BẢNG CHẤM CÔNG T3'!H56</f>
        <v>0</v>
      </c>
      <c r="R56" s="213">
        <f>'BẢNG CHẤM CÔNG T3'!I56</f>
        <v>0</v>
      </c>
      <c r="S56" s="213">
        <f>'BẢNG CHẤM CÔNG T3'!J56</f>
        <v>0</v>
      </c>
      <c r="T56" s="213">
        <f>'BẢNG CHẤM CÔNG T3'!K56</f>
        <v>0</v>
      </c>
      <c r="U56" s="213">
        <f>'BẢNG CHẤM CÔNG T3'!L56</f>
        <v>0</v>
      </c>
      <c r="V56" s="213">
        <f>'BẢNG CHẤM CÔNG T3'!M56</f>
        <v>0</v>
      </c>
      <c r="W56" s="214">
        <f t="shared" si="4"/>
        <v>4278846.153846154</v>
      </c>
      <c r="X56" s="214">
        <f t="shared" si="5"/>
        <v>160456.73076923075</v>
      </c>
      <c r="Y56" s="214">
        <f t="shared" si="23"/>
        <v>0</v>
      </c>
      <c r="Z56" s="214">
        <f t="shared" si="31"/>
        <v>0</v>
      </c>
      <c r="AA56" s="214">
        <f t="shared" si="8"/>
        <v>480769.23076923075</v>
      </c>
      <c r="AB56" s="214">
        <f t="shared" si="24"/>
        <v>240384.61538461538</v>
      </c>
      <c r="AC56" s="214">
        <f t="shared" si="10"/>
        <v>0</v>
      </c>
      <c r="AD56" s="214">
        <f t="shared" si="11"/>
        <v>0</v>
      </c>
      <c r="AE56" s="214">
        <f t="shared" si="32"/>
        <v>288461.5384615385</v>
      </c>
      <c r="AF56" s="214">
        <f t="shared" si="17"/>
        <v>480769.23076923075</v>
      </c>
      <c r="AG56" s="214"/>
      <c r="AH56" s="215">
        <f t="shared" si="18"/>
        <v>5929687.5000000009</v>
      </c>
      <c r="AI56" s="214"/>
      <c r="AJ56" s="214"/>
      <c r="AK56" s="214"/>
      <c r="AL56" s="214">
        <v>11000000</v>
      </c>
      <c r="AM56" s="214">
        <f t="shared" si="12"/>
        <v>0</v>
      </c>
      <c r="AN56" s="132">
        <f t="shared" si="19"/>
        <v>11053485.576923076</v>
      </c>
      <c r="AO56" s="214">
        <f t="shared" si="13"/>
        <v>-5123798.0769230751</v>
      </c>
      <c r="AP56" s="204">
        <f t="shared" si="28"/>
        <v>0</v>
      </c>
      <c r="AQ56" s="214">
        <f t="shared" si="29"/>
        <v>0</v>
      </c>
      <c r="AR56" s="214"/>
      <c r="AS56" s="214"/>
      <c r="AT56" s="197">
        <f t="shared" si="33"/>
        <v>0</v>
      </c>
      <c r="AU56" s="216">
        <f t="shared" si="34"/>
        <v>5929687.5000000009</v>
      </c>
    </row>
    <row r="57" spans="1:47" ht="15.75" x14ac:dyDescent="0.25">
      <c r="A57" s="212">
        <v>47</v>
      </c>
      <c r="B57" s="72" t="s">
        <v>126</v>
      </c>
      <c r="C57" s="73" t="s">
        <v>127</v>
      </c>
      <c r="D57" s="72">
        <v>26</v>
      </c>
      <c r="E57" s="131">
        <f t="shared" si="30"/>
        <v>6300000</v>
      </c>
      <c r="F57" s="126">
        <v>4450000</v>
      </c>
      <c r="G57" s="126">
        <v>500000</v>
      </c>
      <c r="H57" s="126">
        <v>250000</v>
      </c>
      <c r="I57" s="126"/>
      <c r="J57" s="126">
        <v>300000</v>
      </c>
      <c r="K57" s="126">
        <v>300000</v>
      </c>
      <c r="L57" s="126">
        <v>500000</v>
      </c>
      <c r="M57" s="213">
        <f>'BẢNG CHẤM CÔNG T3'!D57</f>
        <v>25</v>
      </c>
      <c r="N57" s="213">
        <f>'BẢNG CHẤM CÔNG T3'!E57</f>
        <v>83.5</v>
      </c>
      <c r="O57" s="213">
        <f>'BẢNG CHẤM CÔNG T3'!F57</f>
        <v>3</v>
      </c>
      <c r="P57" s="213">
        <f>'BẢNG CHẤM CÔNG T3'!G57</f>
        <v>2</v>
      </c>
      <c r="Q57" s="213">
        <f>'BẢNG CHẤM CÔNG T3'!H57</f>
        <v>17</v>
      </c>
      <c r="R57" s="213">
        <f>'BẢNG CHẤM CÔNG T3'!I57</f>
        <v>0</v>
      </c>
      <c r="S57" s="213">
        <f>'BẢNG CHẤM CÔNG T3'!J57</f>
        <v>1</v>
      </c>
      <c r="T57" s="213">
        <f>'BẢNG CHẤM CÔNG T3'!K57</f>
        <v>0</v>
      </c>
      <c r="U57" s="213">
        <f>'BẢNG CHẤM CÔNG T3'!L57</f>
        <v>0</v>
      </c>
      <c r="V57" s="213">
        <f>'BẢNG CHẤM CÔNG T3'!M57</f>
        <v>0</v>
      </c>
      <c r="W57" s="214">
        <f t="shared" si="4"/>
        <v>4278846.153846154</v>
      </c>
      <c r="X57" s="214">
        <f t="shared" si="5"/>
        <v>2679627.403846154</v>
      </c>
      <c r="Y57" s="214">
        <f t="shared" si="23"/>
        <v>115528.84615384617</v>
      </c>
      <c r="Z57" s="214">
        <f t="shared" si="31"/>
        <v>727403.84615384613</v>
      </c>
      <c r="AA57" s="214">
        <f t="shared" si="8"/>
        <v>480769.23076923075</v>
      </c>
      <c r="AB57" s="214">
        <f t="shared" si="24"/>
        <v>240384.61538461538</v>
      </c>
      <c r="AC57" s="214">
        <f t="shared" si="10"/>
        <v>0</v>
      </c>
      <c r="AD57" s="214">
        <f t="shared" si="11"/>
        <v>288461.5384615385</v>
      </c>
      <c r="AE57" s="214">
        <f t="shared" si="32"/>
        <v>288461.5384615385</v>
      </c>
      <c r="AF57" s="214">
        <f t="shared" si="17"/>
        <v>480769.23076923075</v>
      </c>
      <c r="AG57" s="214"/>
      <c r="AH57" s="215">
        <f>SUM(W57:AG57)</f>
        <v>9580252.4038461521</v>
      </c>
      <c r="AI57" s="214"/>
      <c r="AJ57" s="214"/>
      <c r="AK57" s="214"/>
      <c r="AL57" s="214">
        <v>11000000</v>
      </c>
      <c r="AM57" s="214">
        <f t="shared" si="12"/>
        <v>0</v>
      </c>
      <c r="AN57" s="132">
        <f t="shared" si="19"/>
        <v>12308257.211538462</v>
      </c>
      <c r="AO57" s="214">
        <f t="shared" si="13"/>
        <v>-2728004.8076923098</v>
      </c>
      <c r="AP57" s="204">
        <f t="shared" si="28"/>
        <v>0</v>
      </c>
      <c r="AQ57" s="214">
        <f t="shared" si="29"/>
        <v>42788.461538461539</v>
      </c>
      <c r="AR57" s="214"/>
      <c r="AS57" s="214"/>
      <c r="AT57" s="197">
        <f t="shared" si="33"/>
        <v>42788.461538461539</v>
      </c>
      <c r="AU57" s="216">
        <f t="shared" si="34"/>
        <v>9537463.9423076902</v>
      </c>
    </row>
    <row r="58" spans="1:47" ht="15.75" x14ac:dyDescent="0.25">
      <c r="A58" s="212">
        <v>48</v>
      </c>
      <c r="B58" s="72" t="s">
        <v>476</v>
      </c>
      <c r="C58" s="73" t="s">
        <v>477</v>
      </c>
      <c r="D58" s="72">
        <v>26</v>
      </c>
      <c r="E58" s="131">
        <f t="shared" si="30"/>
        <v>6000000</v>
      </c>
      <c r="F58" s="126">
        <v>4450000</v>
      </c>
      <c r="G58" s="126">
        <v>500000</v>
      </c>
      <c r="H58" s="126">
        <v>250000</v>
      </c>
      <c r="I58" s="126"/>
      <c r="J58" s="126"/>
      <c r="K58" s="126">
        <v>300000</v>
      </c>
      <c r="L58" s="126">
        <v>500000</v>
      </c>
      <c r="M58" s="213">
        <f>'BẢNG CHẤM CÔNG T3'!D58</f>
        <v>17</v>
      </c>
      <c r="N58" s="213">
        <f>'BẢNG CHẤM CÔNG T3'!E58</f>
        <v>50.5</v>
      </c>
      <c r="O58" s="213">
        <f>'BẢNG CHẤM CÔNG T3'!F58</f>
        <v>1</v>
      </c>
      <c r="P58" s="213">
        <f>'BẢNG CHẤM CÔNG T3'!G58</f>
        <v>0</v>
      </c>
      <c r="Q58" s="213">
        <f>'BẢNG CHẤM CÔNG T3'!H58</f>
        <v>17</v>
      </c>
      <c r="R58" s="213">
        <f>'BẢNG CHẤM CÔNG T3'!I58</f>
        <v>0</v>
      </c>
      <c r="S58" s="213">
        <f>'BẢNG CHẤM CÔNG T3'!J58</f>
        <v>0</v>
      </c>
      <c r="T58" s="213">
        <f>'BẢNG CHẤM CÔNG T3'!K58</f>
        <v>0</v>
      </c>
      <c r="U58" s="213">
        <f>'BẢNG CHẤM CÔNG T3'!L58</f>
        <v>0</v>
      </c>
      <c r="V58" s="213">
        <f>'BẢNG CHẤM CÔNG T3'!M58</f>
        <v>0</v>
      </c>
      <c r="W58" s="214">
        <f t="shared" si="4"/>
        <v>2909615.3846153845</v>
      </c>
      <c r="X58" s="214">
        <f t="shared" si="5"/>
        <v>1620612.9807692305</v>
      </c>
      <c r="Y58" s="214">
        <f t="shared" si="23"/>
        <v>38509.615384615383</v>
      </c>
      <c r="Z58" s="214">
        <f t="shared" si="31"/>
        <v>727403.84615384613</v>
      </c>
      <c r="AA58" s="214">
        <f t="shared" si="8"/>
        <v>326923.07692307694</v>
      </c>
      <c r="AB58" s="214">
        <f t="shared" si="24"/>
        <v>163461.53846153847</v>
      </c>
      <c r="AC58" s="214">
        <f t="shared" si="10"/>
        <v>0</v>
      </c>
      <c r="AD58" s="214">
        <f t="shared" si="11"/>
        <v>0</v>
      </c>
      <c r="AE58" s="214">
        <f t="shared" si="32"/>
        <v>196153.84615384616</v>
      </c>
      <c r="AF58" s="214">
        <f t="shared" si="17"/>
        <v>326923.07692307694</v>
      </c>
      <c r="AG58" s="214"/>
      <c r="AH58" s="215">
        <f t="shared" si="18"/>
        <v>6309603.3653846141</v>
      </c>
      <c r="AI58" s="214"/>
      <c r="AJ58" s="214"/>
      <c r="AK58" s="214"/>
      <c r="AL58" s="214">
        <v>11000000</v>
      </c>
      <c r="AM58" s="214">
        <f t="shared" si="12"/>
        <v>0</v>
      </c>
      <c r="AN58" s="132">
        <f t="shared" si="19"/>
        <v>11921021.634615384</v>
      </c>
      <c r="AO58" s="214">
        <f t="shared" si="13"/>
        <v>-5611418.2692307699</v>
      </c>
      <c r="AP58" s="204">
        <f t="shared" si="28"/>
        <v>0</v>
      </c>
      <c r="AQ58" s="214">
        <f t="shared" si="29"/>
        <v>0</v>
      </c>
      <c r="AR58" s="214"/>
      <c r="AS58" s="214"/>
      <c r="AT58" s="197">
        <f t="shared" si="33"/>
        <v>0</v>
      </c>
      <c r="AU58" s="216">
        <f t="shared" si="34"/>
        <v>6309603.3653846141</v>
      </c>
    </row>
    <row r="59" spans="1:47" ht="15.75" x14ac:dyDescent="0.25">
      <c r="A59" s="212">
        <v>49</v>
      </c>
      <c r="B59" s="72" t="s">
        <v>128</v>
      </c>
      <c r="C59" s="73" t="s">
        <v>129</v>
      </c>
      <c r="D59" s="72">
        <v>26</v>
      </c>
      <c r="E59" s="131">
        <f t="shared" si="30"/>
        <v>6000000</v>
      </c>
      <c r="F59" s="126">
        <v>4450000</v>
      </c>
      <c r="G59" s="126">
        <v>500000</v>
      </c>
      <c r="H59" s="126">
        <v>250000</v>
      </c>
      <c r="I59" s="126"/>
      <c r="J59" s="126"/>
      <c r="K59" s="126">
        <v>300000</v>
      </c>
      <c r="L59" s="126">
        <v>500000</v>
      </c>
      <c r="M59" s="213">
        <f>'BẢNG CHẤM CÔNG T3'!D59</f>
        <v>22</v>
      </c>
      <c r="N59" s="213">
        <f>'BẢNG CHẤM CÔNG T3'!E59</f>
        <v>49.5</v>
      </c>
      <c r="O59" s="213">
        <f>'BẢNG CHẤM CÔNG T3'!F59</f>
        <v>0</v>
      </c>
      <c r="P59" s="213">
        <f>'BẢNG CHẤM CÔNG T3'!G59</f>
        <v>2</v>
      </c>
      <c r="Q59" s="213">
        <f>'BẢNG CHẤM CÔNG T3'!H59</f>
        <v>0</v>
      </c>
      <c r="R59" s="213">
        <f>'BẢNG CHẤM CÔNG T3'!I59</f>
        <v>0</v>
      </c>
      <c r="S59" s="213">
        <f>'BẢNG CHẤM CÔNG T3'!J59</f>
        <v>1</v>
      </c>
      <c r="T59" s="213">
        <f>'BẢNG CHẤM CÔNG T3'!K59</f>
        <v>0</v>
      </c>
      <c r="U59" s="213">
        <f>'BẢNG CHẤM CÔNG T3'!L59</f>
        <v>0</v>
      </c>
      <c r="V59" s="213">
        <f>'BẢNG CHẤM CÔNG T3'!M59</f>
        <v>0</v>
      </c>
      <c r="W59" s="214">
        <f t="shared" si="4"/>
        <v>3765384.6153846155</v>
      </c>
      <c r="X59" s="214">
        <f t="shared" si="5"/>
        <v>1588521.6346153845</v>
      </c>
      <c r="Y59" s="214">
        <f t="shared" si="23"/>
        <v>0</v>
      </c>
      <c r="Z59" s="214">
        <f t="shared" si="31"/>
        <v>0</v>
      </c>
      <c r="AA59" s="214">
        <f t="shared" si="8"/>
        <v>423076.92307692306</v>
      </c>
      <c r="AB59" s="214">
        <f t="shared" si="24"/>
        <v>211538.46153846153</v>
      </c>
      <c r="AC59" s="214">
        <f t="shared" si="10"/>
        <v>0</v>
      </c>
      <c r="AD59" s="214">
        <f t="shared" si="11"/>
        <v>0</v>
      </c>
      <c r="AE59" s="214">
        <f t="shared" si="32"/>
        <v>253846.15384615387</v>
      </c>
      <c r="AF59" s="214">
        <f t="shared" si="17"/>
        <v>423076.92307692306</v>
      </c>
      <c r="AG59" s="214"/>
      <c r="AH59" s="215">
        <f t="shared" si="18"/>
        <v>6665444.711538462</v>
      </c>
      <c r="AI59" s="214"/>
      <c r="AJ59" s="214"/>
      <c r="AK59" s="214"/>
      <c r="AL59" s="214">
        <v>11000000</v>
      </c>
      <c r="AM59" s="214">
        <f t="shared" si="12"/>
        <v>0</v>
      </c>
      <c r="AN59" s="132">
        <f t="shared" si="19"/>
        <v>11529507.211538462</v>
      </c>
      <c r="AO59" s="214">
        <f t="shared" si="13"/>
        <v>-4864062.5</v>
      </c>
      <c r="AP59" s="204">
        <f t="shared" si="28"/>
        <v>0</v>
      </c>
      <c r="AQ59" s="214">
        <f t="shared" si="29"/>
        <v>42788.461538461539</v>
      </c>
      <c r="AR59" s="214"/>
      <c r="AS59" s="214"/>
      <c r="AT59" s="197">
        <f t="shared" si="33"/>
        <v>42788.461538461539</v>
      </c>
      <c r="AU59" s="216">
        <f t="shared" si="34"/>
        <v>6622656.25</v>
      </c>
    </row>
    <row r="60" spans="1:47" ht="15.75" x14ac:dyDescent="0.25">
      <c r="A60" s="212">
        <v>50</v>
      </c>
      <c r="B60" s="72" t="s">
        <v>130</v>
      </c>
      <c r="C60" s="73" t="s">
        <v>131</v>
      </c>
      <c r="D60" s="72">
        <v>26</v>
      </c>
      <c r="E60" s="131">
        <f t="shared" si="30"/>
        <v>6000000</v>
      </c>
      <c r="F60" s="126">
        <v>4450000</v>
      </c>
      <c r="G60" s="126">
        <v>500000</v>
      </c>
      <c r="H60" s="126">
        <v>250000</v>
      </c>
      <c r="I60" s="126"/>
      <c r="J60" s="126"/>
      <c r="K60" s="126">
        <v>300000</v>
      </c>
      <c r="L60" s="126">
        <v>500000</v>
      </c>
      <c r="M60" s="213">
        <f>'BẢNG CHẤM CÔNG T3'!D60</f>
        <v>23</v>
      </c>
      <c r="N60" s="213">
        <f>'BẢNG CHẤM CÔNG T3'!E60</f>
        <v>87.5</v>
      </c>
      <c r="O60" s="213">
        <f>'BẢNG CHẤM CÔNG T3'!F60</f>
        <v>3.5</v>
      </c>
      <c r="P60" s="213">
        <f>'BẢNG CHẤM CÔNG T3'!G60</f>
        <v>0</v>
      </c>
      <c r="Q60" s="213">
        <f>'BẢNG CHẤM CÔNG T3'!H60</f>
        <v>32</v>
      </c>
      <c r="R60" s="213">
        <f>'BẢNG CHẤM CÔNG T3'!I60</f>
        <v>0</v>
      </c>
      <c r="S60" s="213">
        <f>'BẢNG CHẤM CÔNG T3'!J60</f>
        <v>1</v>
      </c>
      <c r="T60" s="213">
        <f>'BẢNG CHẤM CÔNG T3'!K60</f>
        <v>0</v>
      </c>
      <c r="U60" s="213">
        <f>'BẢNG CHẤM CÔNG T3'!L60</f>
        <v>0</v>
      </c>
      <c r="V60" s="213">
        <f>'BẢNG CHẤM CÔNG T3'!M60</f>
        <v>0</v>
      </c>
      <c r="W60" s="214">
        <f t="shared" si="4"/>
        <v>3936538.4615384615</v>
      </c>
      <c r="X60" s="214">
        <f t="shared" si="5"/>
        <v>2807992.7884615385</v>
      </c>
      <c r="Y60" s="214">
        <f t="shared" si="23"/>
        <v>134783.65384615384</v>
      </c>
      <c r="Z60" s="214">
        <f t="shared" si="31"/>
        <v>1369230.7692307692</v>
      </c>
      <c r="AA60" s="214">
        <f t="shared" si="8"/>
        <v>442307.69230769231</v>
      </c>
      <c r="AB60" s="214">
        <f t="shared" si="24"/>
        <v>221153.84615384616</v>
      </c>
      <c r="AC60" s="214">
        <f t="shared" si="10"/>
        <v>0</v>
      </c>
      <c r="AD60" s="214">
        <f t="shared" si="11"/>
        <v>0</v>
      </c>
      <c r="AE60" s="214">
        <f t="shared" si="32"/>
        <v>265384.61538461538</v>
      </c>
      <c r="AF60" s="214">
        <f t="shared" si="17"/>
        <v>442307.69230769231</v>
      </c>
      <c r="AG60" s="214"/>
      <c r="AH60" s="215">
        <f t="shared" si="18"/>
        <v>9619699.5192307699</v>
      </c>
      <c r="AI60" s="214"/>
      <c r="AJ60" s="214"/>
      <c r="AK60" s="214"/>
      <c r="AL60" s="214">
        <v>11000000</v>
      </c>
      <c r="AM60" s="214">
        <f t="shared" si="12"/>
        <v>0</v>
      </c>
      <c r="AN60" s="132">
        <f t="shared" si="19"/>
        <v>12680516.826923076</v>
      </c>
      <c r="AO60" s="214">
        <f t="shared" si="13"/>
        <v>-3060817.3076923061</v>
      </c>
      <c r="AP60" s="204">
        <f t="shared" si="28"/>
        <v>0</v>
      </c>
      <c r="AQ60" s="214">
        <f t="shared" si="29"/>
        <v>0</v>
      </c>
      <c r="AR60" s="214"/>
      <c r="AS60" s="214"/>
      <c r="AT60" s="197">
        <f t="shared" si="33"/>
        <v>0</v>
      </c>
      <c r="AU60" s="216">
        <f t="shared" si="34"/>
        <v>9619699.5192307699</v>
      </c>
    </row>
    <row r="61" spans="1:47" ht="15.75" x14ac:dyDescent="0.25">
      <c r="A61" s="212">
        <v>51</v>
      </c>
      <c r="B61" s="72" t="s">
        <v>132</v>
      </c>
      <c r="C61" s="73" t="s">
        <v>133</v>
      </c>
      <c r="D61" s="72">
        <v>26</v>
      </c>
      <c r="E61" s="131">
        <f t="shared" si="30"/>
        <v>6000000</v>
      </c>
      <c r="F61" s="126">
        <v>4450000</v>
      </c>
      <c r="G61" s="126">
        <v>500000</v>
      </c>
      <c r="H61" s="126">
        <v>250000</v>
      </c>
      <c r="I61" s="126"/>
      <c r="J61" s="126"/>
      <c r="K61" s="126">
        <v>300000</v>
      </c>
      <c r="L61" s="126">
        <v>500000</v>
      </c>
      <c r="M61" s="213">
        <f>'BẢNG CHẤM CÔNG T3'!D61</f>
        <v>24</v>
      </c>
      <c r="N61" s="213">
        <f>'BẢNG CHẤM CÔNG T3'!E61</f>
        <v>82.5</v>
      </c>
      <c r="O61" s="213">
        <f>'BẢNG CHẤM CÔNG T3'!F61</f>
        <v>2.5</v>
      </c>
      <c r="P61" s="213">
        <f>'BẢNG CHẤM CÔNG T3'!G61</f>
        <v>2</v>
      </c>
      <c r="Q61" s="213">
        <f>'BẢNG CHẤM CÔNG T3'!H61</f>
        <v>32</v>
      </c>
      <c r="R61" s="213">
        <f>'BẢNG CHẤM CÔNG T3'!I61</f>
        <v>0</v>
      </c>
      <c r="S61" s="213">
        <f>'BẢNG CHẤM CÔNG T3'!J61</f>
        <v>0</v>
      </c>
      <c r="T61" s="213">
        <f>'BẢNG CHẤM CÔNG T3'!K61</f>
        <v>0</v>
      </c>
      <c r="U61" s="213">
        <f>'BẢNG CHẤM CÔNG T3'!L61</f>
        <v>0</v>
      </c>
      <c r="V61" s="213">
        <f>'BẢNG CHẤM CÔNG T3'!M61</f>
        <v>0</v>
      </c>
      <c r="W61" s="214">
        <f t="shared" si="4"/>
        <v>4107692.307692308</v>
      </c>
      <c r="X61" s="214">
        <f t="shared" si="5"/>
        <v>2647536.057692308</v>
      </c>
      <c r="Y61" s="214">
        <f t="shared" si="23"/>
        <v>96274.038461538468</v>
      </c>
      <c r="Z61" s="214">
        <f t="shared" si="31"/>
        <v>1369230.7692307692</v>
      </c>
      <c r="AA61" s="214">
        <f t="shared" si="8"/>
        <v>461538.4615384615</v>
      </c>
      <c r="AB61" s="214">
        <f t="shared" si="24"/>
        <v>230769.23076923075</v>
      </c>
      <c r="AC61" s="214">
        <f t="shared" si="10"/>
        <v>0</v>
      </c>
      <c r="AD61" s="214">
        <f t="shared" si="11"/>
        <v>0</v>
      </c>
      <c r="AE61" s="214">
        <f t="shared" si="32"/>
        <v>276923.07692307694</v>
      </c>
      <c r="AF61" s="214">
        <f t="shared" si="17"/>
        <v>461538.4615384615</v>
      </c>
      <c r="AG61" s="214"/>
      <c r="AH61" s="215">
        <f t="shared" si="18"/>
        <v>9651502.4038461521</v>
      </c>
      <c r="AI61" s="214"/>
      <c r="AJ61" s="214"/>
      <c r="AK61" s="214"/>
      <c r="AL61" s="214">
        <v>11000000</v>
      </c>
      <c r="AM61" s="214">
        <f t="shared" si="12"/>
        <v>0</v>
      </c>
      <c r="AN61" s="132">
        <f t="shared" si="19"/>
        <v>12609915.865384616</v>
      </c>
      <c r="AO61" s="214">
        <f t="shared" si="13"/>
        <v>-2958413.4615384638</v>
      </c>
      <c r="AP61" s="204">
        <f t="shared" si="28"/>
        <v>0</v>
      </c>
      <c r="AQ61" s="214">
        <f t="shared" si="29"/>
        <v>42788.461538461539</v>
      </c>
      <c r="AR61" s="214"/>
      <c r="AS61" s="214"/>
      <c r="AT61" s="197">
        <f t="shared" si="33"/>
        <v>42788.461538461539</v>
      </c>
      <c r="AU61" s="216">
        <f t="shared" si="34"/>
        <v>9608713.9423076902</v>
      </c>
    </row>
    <row r="62" spans="1:47" ht="15.75" x14ac:dyDescent="0.25">
      <c r="A62" s="212">
        <v>52</v>
      </c>
      <c r="B62" s="72" t="s">
        <v>134</v>
      </c>
      <c r="C62" s="73" t="s">
        <v>135</v>
      </c>
      <c r="D62" s="72">
        <v>26</v>
      </c>
      <c r="E62" s="131">
        <f t="shared" si="30"/>
        <v>6000000</v>
      </c>
      <c r="F62" s="126">
        <v>4450000</v>
      </c>
      <c r="G62" s="126">
        <v>500000</v>
      </c>
      <c r="H62" s="126">
        <v>250000</v>
      </c>
      <c r="I62" s="126"/>
      <c r="J62" s="126"/>
      <c r="K62" s="126">
        <v>300000</v>
      </c>
      <c r="L62" s="126">
        <v>500000</v>
      </c>
      <c r="M62" s="213">
        <f>'BẢNG CHẤM CÔNG T3'!D62</f>
        <v>22</v>
      </c>
      <c r="N62" s="213">
        <f>'BẢNG CHẤM CÔNG T3'!E62</f>
        <v>80</v>
      </c>
      <c r="O62" s="213">
        <f>'BẢNG CHẤM CÔNG T3'!F62</f>
        <v>3</v>
      </c>
      <c r="P62" s="213">
        <f>'BẢNG CHẤM CÔNG T3'!G62</f>
        <v>0</v>
      </c>
      <c r="Q62" s="213">
        <f>'BẢNG CHẤM CÔNG T3'!H62</f>
        <v>25.5</v>
      </c>
      <c r="R62" s="213">
        <f>'BẢNG CHẤM CÔNG T3'!I62</f>
        <v>0</v>
      </c>
      <c r="S62" s="213">
        <f>'BẢNG CHẤM CÔNG T3'!J62</f>
        <v>0</v>
      </c>
      <c r="T62" s="213">
        <f>'BẢNG CHẤM CÔNG T3'!K62</f>
        <v>0</v>
      </c>
      <c r="U62" s="213">
        <f>'BẢNG CHẤM CÔNG T3'!L62</f>
        <v>0</v>
      </c>
      <c r="V62" s="213">
        <f>'BẢNG CHẤM CÔNG T3'!M62</f>
        <v>0</v>
      </c>
      <c r="W62" s="214">
        <f t="shared" si="4"/>
        <v>3765384.6153846155</v>
      </c>
      <c r="X62" s="214">
        <f t="shared" si="5"/>
        <v>2567307.692307692</v>
      </c>
      <c r="Y62" s="214">
        <f t="shared" si="23"/>
        <v>115528.84615384617</v>
      </c>
      <c r="Z62" s="214">
        <f t="shared" si="31"/>
        <v>1091105.7692307692</v>
      </c>
      <c r="AA62" s="214">
        <f t="shared" si="8"/>
        <v>423076.92307692306</v>
      </c>
      <c r="AB62" s="214">
        <f t="shared" si="24"/>
        <v>211538.46153846153</v>
      </c>
      <c r="AC62" s="214">
        <f t="shared" si="10"/>
        <v>0</v>
      </c>
      <c r="AD62" s="214">
        <f t="shared" si="11"/>
        <v>0</v>
      </c>
      <c r="AE62" s="214">
        <f t="shared" si="32"/>
        <v>253846.15384615387</v>
      </c>
      <c r="AF62" s="214">
        <f t="shared" si="17"/>
        <v>423076.92307692306</v>
      </c>
      <c r="AG62" s="214"/>
      <c r="AH62" s="215">
        <f t="shared" si="18"/>
        <v>8850865.3846153859</v>
      </c>
      <c r="AI62" s="214"/>
      <c r="AJ62" s="214"/>
      <c r="AK62" s="214"/>
      <c r="AL62" s="214">
        <v>11000000</v>
      </c>
      <c r="AM62" s="214">
        <f t="shared" si="12"/>
        <v>0</v>
      </c>
      <c r="AN62" s="132">
        <f t="shared" si="19"/>
        <v>12452668.26923077</v>
      </c>
      <c r="AO62" s="214">
        <f t="shared" si="13"/>
        <v>-3601802.884615384</v>
      </c>
      <c r="AP62" s="204">
        <f t="shared" si="28"/>
        <v>0</v>
      </c>
      <c r="AQ62" s="214">
        <f t="shared" si="29"/>
        <v>0</v>
      </c>
      <c r="AR62" s="214"/>
      <c r="AS62" s="214"/>
      <c r="AT62" s="197">
        <f t="shared" si="33"/>
        <v>0</v>
      </c>
      <c r="AU62" s="216">
        <f t="shared" si="34"/>
        <v>8850865.3846153859</v>
      </c>
    </row>
    <row r="63" spans="1:47" ht="15.75" x14ac:dyDescent="0.25">
      <c r="A63" s="212">
        <v>53</v>
      </c>
      <c r="B63" s="72" t="s">
        <v>156</v>
      </c>
      <c r="C63" s="73" t="s">
        <v>157</v>
      </c>
      <c r="D63" s="72">
        <v>26</v>
      </c>
      <c r="E63" s="131">
        <f t="shared" si="30"/>
        <v>6000000</v>
      </c>
      <c r="F63" s="126">
        <v>4450000</v>
      </c>
      <c r="G63" s="126">
        <v>500000</v>
      </c>
      <c r="H63" s="126">
        <v>250000</v>
      </c>
      <c r="I63" s="126"/>
      <c r="J63" s="126"/>
      <c r="K63" s="126">
        <v>300000</v>
      </c>
      <c r="L63" s="126">
        <v>500000</v>
      </c>
      <c r="M63" s="213">
        <f>'BẢNG CHẤM CÔNG T3'!D63</f>
        <v>21</v>
      </c>
      <c r="N63" s="213">
        <f>'BẢNG CHẤM CÔNG T3'!E63</f>
        <v>78.5</v>
      </c>
      <c r="O63" s="213">
        <f>'BẢNG CHẤM CÔNG T3'!F63</f>
        <v>3.5</v>
      </c>
      <c r="P63" s="213">
        <f>'BẢNG CHẤM CÔNG T3'!G63</f>
        <v>0</v>
      </c>
      <c r="Q63" s="213">
        <f>'BẢNG CHẤM CÔNG T3'!H63</f>
        <v>35.5</v>
      </c>
      <c r="R63" s="213">
        <f>'BẢNG CHẤM CÔNG T3'!I63</f>
        <v>0</v>
      </c>
      <c r="S63" s="213">
        <f>'BẢNG CHẤM CÔNG T3'!J63</f>
        <v>0</v>
      </c>
      <c r="T63" s="213">
        <f>'BẢNG CHẤM CÔNG T3'!K63</f>
        <v>0</v>
      </c>
      <c r="U63" s="213">
        <f>'BẢNG CHẤM CÔNG T3'!L63</f>
        <v>0</v>
      </c>
      <c r="V63" s="213">
        <f>'BẢNG CHẤM CÔNG T3'!M63</f>
        <v>0</v>
      </c>
      <c r="W63" s="214">
        <f t="shared" si="4"/>
        <v>3594230.7692307695</v>
      </c>
      <c r="X63" s="214">
        <f t="shared" si="5"/>
        <v>2519170.673076923</v>
      </c>
      <c r="Y63" s="214">
        <f t="shared" si="23"/>
        <v>134783.65384615384</v>
      </c>
      <c r="Z63" s="214">
        <f t="shared" si="31"/>
        <v>1518990.3846153847</v>
      </c>
      <c r="AA63" s="214">
        <f t="shared" si="8"/>
        <v>403846.15384615381</v>
      </c>
      <c r="AB63" s="214">
        <f t="shared" si="24"/>
        <v>201923.07692307691</v>
      </c>
      <c r="AC63" s="214">
        <f t="shared" si="10"/>
        <v>0</v>
      </c>
      <c r="AD63" s="214">
        <f t="shared" si="11"/>
        <v>0</v>
      </c>
      <c r="AE63" s="214">
        <f t="shared" si="32"/>
        <v>242307.69230769231</v>
      </c>
      <c r="AF63" s="214">
        <f t="shared" si="17"/>
        <v>403846.15384615381</v>
      </c>
      <c r="AG63" s="214"/>
      <c r="AH63" s="215">
        <f t="shared" si="18"/>
        <v>9019098.557692308</v>
      </c>
      <c r="AI63" s="214"/>
      <c r="AJ63" s="214"/>
      <c r="AK63" s="214"/>
      <c r="AL63" s="214">
        <v>11000000</v>
      </c>
      <c r="AM63" s="214">
        <f t="shared" si="12"/>
        <v>0</v>
      </c>
      <c r="AN63" s="132">
        <f t="shared" si="19"/>
        <v>12659122.596153846</v>
      </c>
      <c r="AO63" s="214">
        <f t="shared" si="13"/>
        <v>-3640024.038461538</v>
      </c>
      <c r="AP63" s="204">
        <f t="shared" si="28"/>
        <v>0</v>
      </c>
      <c r="AQ63" s="214">
        <f t="shared" si="29"/>
        <v>0</v>
      </c>
      <c r="AR63" s="214"/>
      <c r="AS63" s="214"/>
      <c r="AT63" s="197">
        <f t="shared" si="33"/>
        <v>0</v>
      </c>
      <c r="AU63" s="216">
        <f t="shared" si="34"/>
        <v>9019098.557692308</v>
      </c>
    </row>
    <row r="64" spans="1:47" ht="15.75" x14ac:dyDescent="0.25">
      <c r="A64" s="212">
        <v>54</v>
      </c>
      <c r="B64" s="72" t="s">
        <v>152</v>
      </c>
      <c r="C64" s="73" t="s">
        <v>153</v>
      </c>
      <c r="D64" s="72">
        <v>26</v>
      </c>
      <c r="E64" s="131">
        <f t="shared" si="30"/>
        <v>6000000</v>
      </c>
      <c r="F64" s="126">
        <v>4450000</v>
      </c>
      <c r="G64" s="126">
        <v>500000</v>
      </c>
      <c r="H64" s="126">
        <v>250000</v>
      </c>
      <c r="I64" s="126"/>
      <c r="J64" s="126"/>
      <c r="K64" s="126">
        <v>300000</v>
      </c>
      <c r="L64" s="126">
        <v>500000</v>
      </c>
      <c r="M64" s="213">
        <f>'BẢNG CHẤM CÔNG T3'!D64</f>
        <v>20</v>
      </c>
      <c r="N64" s="213">
        <f>'BẢNG CHẤM CÔNG T3'!E64</f>
        <v>71.5</v>
      </c>
      <c r="O64" s="213">
        <f>'BẢNG CHẤM CÔNG T3'!F64</f>
        <v>2</v>
      </c>
      <c r="P64" s="213">
        <f>'BẢNG CHẤM CÔNG T3'!G64</f>
        <v>1.5</v>
      </c>
      <c r="Q64" s="213">
        <f>'BẢNG CHẤM CÔNG T3'!H64</f>
        <v>33.5</v>
      </c>
      <c r="R64" s="213">
        <f>'BẢNG CHẤM CÔNG T3'!I64</f>
        <v>0</v>
      </c>
      <c r="S64" s="213">
        <f>'BẢNG CHẤM CÔNG T3'!J64</f>
        <v>0</v>
      </c>
      <c r="T64" s="213">
        <f>'BẢNG CHẤM CÔNG T3'!K64</f>
        <v>0</v>
      </c>
      <c r="U64" s="213">
        <f>'BẢNG CHẤM CÔNG T3'!L64</f>
        <v>0</v>
      </c>
      <c r="V64" s="213">
        <f>'BẢNG CHẤM CÔNG T3'!M64</f>
        <v>0</v>
      </c>
      <c r="W64" s="214">
        <f t="shared" si="4"/>
        <v>3423076.923076923</v>
      </c>
      <c r="X64" s="214">
        <f t="shared" si="5"/>
        <v>2294531.25</v>
      </c>
      <c r="Y64" s="214">
        <f t="shared" si="23"/>
        <v>77019.230769230766</v>
      </c>
      <c r="Z64" s="214">
        <f t="shared" si="31"/>
        <v>1433413.4615384615</v>
      </c>
      <c r="AA64" s="214">
        <f t="shared" si="8"/>
        <v>384615.38461538462</v>
      </c>
      <c r="AB64" s="214">
        <f t="shared" si="24"/>
        <v>192307.69230769231</v>
      </c>
      <c r="AC64" s="214">
        <f t="shared" si="10"/>
        <v>0</v>
      </c>
      <c r="AD64" s="214">
        <f t="shared" si="11"/>
        <v>0</v>
      </c>
      <c r="AE64" s="214">
        <f t="shared" si="32"/>
        <v>230769.23076923078</v>
      </c>
      <c r="AF64" s="214">
        <f t="shared" si="17"/>
        <v>384615.38461538462</v>
      </c>
      <c r="AG64" s="214"/>
      <c r="AH64" s="215">
        <f t="shared" si="18"/>
        <v>8420348.557692308</v>
      </c>
      <c r="AI64" s="214"/>
      <c r="AJ64" s="214"/>
      <c r="AK64" s="214"/>
      <c r="AL64" s="214">
        <v>11000000</v>
      </c>
      <c r="AM64" s="214">
        <f t="shared" si="12"/>
        <v>0</v>
      </c>
      <c r="AN64" s="132">
        <f t="shared" si="19"/>
        <v>12515781.25</v>
      </c>
      <c r="AO64" s="214">
        <f t="shared" si="13"/>
        <v>-4095432.692307692</v>
      </c>
      <c r="AP64" s="204">
        <f t="shared" si="28"/>
        <v>0</v>
      </c>
      <c r="AQ64" s="214">
        <f t="shared" si="29"/>
        <v>32091.346153846156</v>
      </c>
      <c r="AR64" s="214"/>
      <c r="AS64" s="214"/>
      <c r="AT64" s="197">
        <f t="shared" si="33"/>
        <v>32091.346153846156</v>
      </c>
      <c r="AU64" s="216">
        <f t="shared" si="34"/>
        <v>8388257.211538462</v>
      </c>
    </row>
    <row r="65" spans="1:47" ht="15.75" x14ac:dyDescent="0.25">
      <c r="A65" s="212">
        <v>55</v>
      </c>
      <c r="B65" s="72" t="s">
        <v>154</v>
      </c>
      <c r="C65" s="73" t="s">
        <v>155</v>
      </c>
      <c r="D65" s="72">
        <v>26</v>
      </c>
      <c r="E65" s="131">
        <f t="shared" si="30"/>
        <v>6000000</v>
      </c>
      <c r="F65" s="126">
        <v>4450000</v>
      </c>
      <c r="G65" s="126">
        <v>500000</v>
      </c>
      <c r="H65" s="126">
        <v>250000</v>
      </c>
      <c r="I65" s="126"/>
      <c r="J65" s="126"/>
      <c r="K65" s="126">
        <v>300000</v>
      </c>
      <c r="L65" s="126">
        <v>500000</v>
      </c>
      <c r="M65" s="213">
        <f>'BẢNG CHẤM CÔNG T3'!D65</f>
        <v>21</v>
      </c>
      <c r="N65" s="213">
        <f>'BẢNG CHẤM CÔNG T3'!E65</f>
        <v>82</v>
      </c>
      <c r="O65" s="213">
        <f>'BẢNG CHẤM CÔNG T3'!F65</f>
        <v>4</v>
      </c>
      <c r="P65" s="213">
        <f>'BẢNG CHẤM CÔNG T3'!G65</f>
        <v>0</v>
      </c>
      <c r="Q65" s="213">
        <f>'BẢNG CHẤM CÔNG T3'!H65</f>
        <v>35.5</v>
      </c>
      <c r="R65" s="213">
        <f>'BẢNG CHẤM CÔNG T3'!I65</f>
        <v>0</v>
      </c>
      <c r="S65" s="213">
        <f>'BẢNG CHẤM CÔNG T3'!J65</f>
        <v>0</v>
      </c>
      <c r="T65" s="213">
        <f>'BẢNG CHẤM CÔNG T3'!K65</f>
        <v>0</v>
      </c>
      <c r="U65" s="213">
        <f>'BẢNG CHẤM CÔNG T3'!L65</f>
        <v>0</v>
      </c>
      <c r="V65" s="213">
        <f>'BẢNG CHẤM CÔNG T3'!M65</f>
        <v>0</v>
      </c>
      <c r="W65" s="214">
        <f t="shared" si="4"/>
        <v>3594230.7692307695</v>
      </c>
      <c r="X65" s="214">
        <f t="shared" si="5"/>
        <v>2631490.3846153845</v>
      </c>
      <c r="Y65" s="214">
        <f t="shared" si="23"/>
        <v>154038.46153846153</v>
      </c>
      <c r="Z65" s="214">
        <f t="shared" si="31"/>
        <v>1518990.3846153847</v>
      </c>
      <c r="AA65" s="214">
        <f t="shared" si="8"/>
        <v>403846.15384615381</v>
      </c>
      <c r="AB65" s="214">
        <f t="shared" si="24"/>
        <v>201923.07692307691</v>
      </c>
      <c r="AC65" s="214">
        <f t="shared" si="10"/>
        <v>0</v>
      </c>
      <c r="AD65" s="214">
        <f t="shared" si="11"/>
        <v>0</v>
      </c>
      <c r="AE65" s="214">
        <f t="shared" si="32"/>
        <v>242307.69230769231</v>
      </c>
      <c r="AF65" s="214">
        <f t="shared" si="17"/>
        <v>403846.15384615381</v>
      </c>
      <c r="AG65" s="214"/>
      <c r="AH65" s="215">
        <f t="shared" si="18"/>
        <v>9150673.0769230779</v>
      </c>
      <c r="AI65" s="214"/>
      <c r="AJ65" s="214"/>
      <c r="AK65" s="214"/>
      <c r="AL65" s="214">
        <v>11000000</v>
      </c>
      <c r="AM65" s="214">
        <f t="shared" si="12"/>
        <v>0</v>
      </c>
      <c r="AN65" s="132">
        <f t="shared" si="19"/>
        <v>12705120.192307692</v>
      </c>
      <c r="AO65" s="214">
        <f t="shared" si="13"/>
        <v>-3554447.1153846141</v>
      </c>
      <c r="AP65" s="204">
        <f t="shared" si="28"/>
        <v>0</v>
      </c>
      <c r="AQ65" s="214">
        <f t="shared" si="29"/>
        <v>0</v>
      </c>
      <c r="AR65" s="214"/>
      <c r="AS65" s="214"/>
      <c r="AT65" s="197">
        <f t="shared" si="33"/>
        <v>0</v>
      </c>
      <c r="AU65" s="216">
        <f t="shared" si="34"/>
        <v>9150673.0769230779</v>
      </c>
    </row>
    <row r="66" spans="1:47" ht="15.75" x14ac:dyDescent="0.25">
      <c r="A66" s="212">
        <v>56</v>
      </c>
      <c r="B66" s="72" t="s">
        <v>158</v>
      </c>
      <c r="C66" s="73" t="s">
        <v>159</v>
      </c>
      <c r="D66" s="72">
        <v>26</v>
      </c>
      <c r="E66" s="131">
        <f t="shared" si="30"/>
        <v>6000000</v>
      </c>
      <c r="F66" s="126">
        <v>4450000</v>
      </c>
      <c r="G66" s="126">
        <v>500000</v>
      </c>
      <c r="H66" s="126">
        <v>250000</v>
      </c>
      <c r="I66" s="126"/>
      <c r="J66" s="126"/>
      <c r="K66" s="126">
        <v>300000</v>
      </c>
      <c r="L66" s="126">
        <v>500000</v>
      </c>
      <c r="M66" s="213">
        <f>'BẢNG CHẤM CÔNG T3'!D66</f>
        <v>17</v>
      </c>
      <c r="N66" s="213">
        <f>'BẢNG CHẤM CÔNG T3'!E66</f>
        <v>47.5</v>
      </c>
      <c r="O66" s="213">
        <f>'BẢNG CHẤM CÔNG T3'!F66</f>
        <v>0.5</v>
      </c>
      <c r="P66" s="213">
        <f>'BẢNG CHẤM CÔNG T3'!G66</f>
        <v>0</v>
      </c>
      <c r="Q66" s="213">
        <f>'BẢNG CHẤM CÔNG T3'!H66</f>
        <v>34.5</v>
      </c>
      <c r="R66" s="213">
        <f>'BẢNG CHẤM CÔNG T3'!I66</f>
        <v>0</v>
      </c>
      <c r="S66" s="213">
        <f>'BẢNG CHẤM CÔNG T3'!J66</f>
        <v>3</v>
      </c>
      <c r="T66" s="213">
        <f>'BẢNG CHẤM CÔNG T3'!K66</f>
        <v>0</v>
      </c>
      <c r="U66" s="213">
        <f>'BẢNG CHẤM CÔNG T3'!L66</f>
        <v>0</v>
      </c>
      <c r="V66" s="213">
        <f>'BẢNG CHẤM CÔNG T3'!M66</f>
        <v>0</v>
      </c>
      <c r="W66" s="214">
        <f t="shared" si="4"/>
        <v>2909615.3846153845</v>
      </c>
      <c r="X66" s="214">
        <f t="shared" si="5"/>
        <v>1524338.9423076923</v>
      </c>
      <c r="Y66" s="214">
        <f t="shared" si="23"/>
        <v>19254.807692307691</v>
      </c>
      <c r="Z66" s="214">
        <f t="shared" si="31"/>
        <v>1476201.923076923</v>
      </c>
      <c r="AA66" s="214">
        <f t="shared" si="8"/>
        <v>326923.07692307694</v>
      </c>
      <c r="AB66" s="214">
        <f t="shared" si="24"/>
        <v>163461.53846153847</v>
      </c>
      <c r="AC66" s="214">
        <f t="shared" si="10"/>
        <v>0</v>
      </c>
      <c r="AD66" s="214">
        <f t="shared" si="11"/>
        <v>0</v>
      </c>
      <c r="AE66" s="214">
        <f t="shared" si="32"/>
        <v>196153.84615384616</v>
      </c>
      <c r="AF66" s="214">
        <f t="shared" si="17"/>
        <v>326923.07692307694</v>
      </c>
      <c r="AG66" s="214"/>
      <c r="AH66" s="215">
        <f t="shared" si="18"/>
        <v>6942872.596153846</v>
      </c>
      <c r="AI66" s="214"/>
      <c r="AJ66" s="214"/>
      <c r="AK66" s="214"/>
      <c r="AL66" s="214">
        <v>11000000</v>
      </c>
      <c r="AM66" s="214">
        <f t="shared" si="12"/>
        <v>0</v>
      </c>
      <c r="AN66" s="132">
        <f t="shared" si="19"/>
        <v>12254771.634615384</v>
      </c>
      <c r="AO66" s="214">
        <f t="shared" si="13"/>
        <v>-5311899.038461538</v>
      </c>
      <c r="AP66" s="204">
        <f t="shared" si="28"/>
        <v>0</v>
      </c>
      <c r="AQ66" s="214">
        <f t="shared" si="29"/>
        <v>0</v>
      </c>
      <c r="AR66" s="214"/>
      <c r="AS66" s="214"/>
      <c r="AT66" s="197">
        <f t="shared" si="33"/>
        <v>0</v>
      </c>
      <c r="AU66" s="216">
        <f t="shared" si="34"/>
        <v>6942872.596153846</v>
      </c>
    </row>
    <row r="67" spans="1:47" ht="15.75" x14ac:dyDescent="0.25">
      <c r="A67" s="212">
        <v>57</v>
      </c>
      <c r="B67" s="72" t="s">
        <v>150</v>
      </c>
      <c r="C67" s="73" t="s">
        <v>151</v>
      </c>
      <c r="D67" s="72">
        <v>26</v>
      </c>
      <c r="E67" s="131">
        <f t="shared" si="30"/>
        <v>5200000</v>
      </c>
      <c r="F67" s="126">
        <v>4450000</v>
      </c>
      <c r="G67" s="126">
        <v>500000</v>
      </c>
      <c r="H67" s="126">
        <v>250000</v>
      </c>
      <c r="I67" s="126"/>
      <c r="J67" s="126"/>
      <c r="K67" s="126"/>
      <c r="L67" s="126"/>
      <c r="M67" s="213">
        <f>'BẢNG CHẤM CÔNG T3'!D67</f>
        <v>10</v>
      </c>
      <c r="N67" s="213">
        <f>'BẢNG CHẤM CÔNG T3'!E67</f>
        <v>13</v>
      </c>
      <c r="O67" s="213">
        <f>'BẢNG CHẤM CÔNG T3'!F67</f>
        <v>0</v>
      </c>
      <c r="P67" s="213">
        <f>'BẢNG CHẤM CÔNG T3'!G67</f>
        <v>0</v>
      </c>
      <c r="Q67" s="213">
        <f>'BẢNG CHẤM CÔNG T3'!H67</f>
        <v>9</v>
      </c>
      <c r="R67" s="213">
        <f>'BẢNG CHẤM CÔNG T3'!I67</f>
        <v>0</v>
      </c>
      <c r="S67" s="213">
        <f>'BẢNG CHẤM CÔNG T3'!J67</f>
        <v>0</v>
      </c>
      <c r="T67" s="213">
        <f>'BẢNG CHẤM CÔNG T3'!K67</f>
        <v>0</v>
      </c>
      <c r="U67" s="213">
        <f>'BẢNG CHẤM CÔNG T3'!L67</f>
        <v>0</v>
      </c>
      <c r="V67" s="213">
        <f>'BẢNG CHẤM CÔNG T3'!M67</f>
        <v>0</v>
      </c>
      <c r="W67" s="214">
        <f t="shared" si="4"/>
        <v>1711538.4615384615</v>
      </c>
      <c r="X67" s="214">
        <f t="shared" si="5"/>
        <v>417187.5</v>
      </c>
      <c r="Y67" s="214">
        <f t="shared" si="23"/>
        <v>0</v>
      </c>
      <c r="Z67" s="214">
        <f t="shared" si="31"/>
        <v>385096.15384615387</v>
      </c>
      <c r="AA67" s="214">
        <f t="shared" si="8"/>
        <v>192307.69230769231</v>
      </c>
      <c r="AB67" s="214">
        <f t="shared" si="24"/>
        <v>96153.846153846156</v>
      </c>
      <c r="AC67" s="214">
        <f t="shared" si="10"/>
        <v>0</v>
      </c>
      <c r="AD67" s="214">
        <f t="shared" si="11"/>
        <v>0</v>
      </c>
      <c r="AE67" s="214">
        <f t="shared" si="32"/>
        <v>0</v>
      </c>
      <c r="AF67" s="214">
        <f t="shared" si="17"/>
        <v>0</v>
      </c>
      <c r="AG67" s="214"/>
      <c r="AH67" s="215">
        <f t="shared" si="18"/>
        <v>2802283.653846154</v>
      </c>
      <c r="AI67" s="214"/>
      <c r="AJ67" s="214"/>
      <c r="AK67" s="214"/>
      <c r="AL67" s="214">
        <v>11000000</v>
      </c>
      <c r="AM67" s="214">
        <f t="shared" si="12"/>
        <v>0</v>
      </c>
      <c r="AN67" s="132">
        <f t="shared" si="19"/>
        <v>11331610.576923076</v>
      </c>
      <c r="AO67" s="214">
        <f t="shared" si="13"/>
        <v>-8529326.9230769221</v>
      </c>
      <c r="AP67" s="204">
        <f t="shared" si="28"/>
        <v>0</v>
      </c>
      <c r="AQ67" s="214">
        <f t="shared" si="29"/>
        <v>0</v>
      </c>
      <c r="AR67" s="214"/>
      <c r="AS67" s="214"/>
      <c r="AT67" s="197">
        <f t="shared" si="33"/>
        <v>0</v>
      </c>
      <c r="AU67" s="216">
        <f t="shared" si="34"/>
        <v>2802283.653846154</v>
      </c>
    </row>
    <row r="68" spans="1:47" ht="15.75" x14ac:dyDescent="0.25">
      <c r="A68" s="212">
        <v>58</v>
      </c>
      <c r="B68" s="72" t="s">
        <v>138</v>
      </c>
      <c r="C68" s="73" t="s">
        <v>139</v>
      </c>
      <c r="D68" s="72">
        <v>26</v>
      </c>
      <c r="E68" s="131">
        <f t="shared" si="30"/>
        <v>5200000</v>
      </c>
      <c r="F68" s="126">
        <v>4450000</v>
      </c>
      <c r="G68" s="126">
        <v>500000</v>
      </c>
      <c r="H68" s="126">
        <v>250000</v>
      </c>
      <c r="I68" s="126"/>
      <c r="J68" s="126"/>
      <c r="K68" s="126"/>
      <c r="L68" s="126"/>
      <c r="M68" s="213">
        <f>'BẢNG CHẤM CÔNG T3'!D68</f>
        <v>8</v>
      </c>
      <c r="N68" s="213">
        <f>'BẢNG CHẤM CÔNG T3'!E68</f>
        <v>0</v>
      </c>
      <c r="O68" s="213">
        <f>'BẢNG CHẤM CÔNG T3'!F68</f>
        <v>0</v>
      </c>
      <c r="P68" s="213">
        <f>'BẢNG CHẤM CÔNG T3'!G68</f>
        <v>0</v>
      </c>
      <c r="Q68" s="213">
        <f>'BẢNG CHẤM CÔNG T3'!H68</f>
        <v>0</v>
      </c>
      <c r="R68" s="213">
        <f>'BẢNG CHẤM CÔNG T3'!I68</f>
        <v>0</v>
      </c>
      <c r="S68" s="213">
        <f>'BẢNG CHẤM CÔNG T3'!J68</f>
        <v>0</v>
      </c>
      <c r="T68" s="213">
        <f>'BẢNG CHẤM CÔNG T3'!K68</f>
        <v>0</v>
      </c>
      <c r="U68" s="213">
        <f>'BẢNG CHẤM CÔNG T3'!L68</f>
        <v>0</v>
      </c>
      <c r="V68" s="213">
        <f>'BẢNG CHẤM CÔNG T3'!M68</f>
        <v>0</v>
      </c>
      <c r="W68" s="214">
        <f t="shared" si="4"/>
        <v>1369230.7692307692</v>
      </c>
      <c r="X68" s="214">
        <f t="shared" si="5"/>
        <v>0</v>
      </c>
      <c r="Y68" s="214">
        <f t="shared" si="23"/>
        <v>0</v>
      </c>
      <c r="Z68" s="214">
        <f t="shared" si="31"/>
        <v>0</v>
      </c>
      <c r="AA68" s="214">
        <f t="shared" si="8"/>
        <v>153846.15384615384</v>
      </c>
      <c r="AB68" s="214">
        <f t="shared" si="24"/>
        <v>76923.076923076922</v>
      </c>
      <c r="AC68" s="214">
        <f t="shared" si="10"/>
        <v>0</v>
      </c>
      <c r="AD68" s="214">
        <f t="shared" si="11"/>
        <v>0</v>
      </c>
      <c r="AE68" s="214">
        <f t="shared" si="32"/>
        <v>0</v>
      </c>
      <c r="AF68" s="214">
        <f t="shared" si="17"/>
        <v>0</v>
      </c>
      <c r="AG68" s="214"/>
      <c r="AH68" s="215">
        <f t="shared" si="18"/>
        <v>1600000</v>
      </c>
      <c r="AI68" s="214"/>
      <c r="AJ68" s="214"/>
      <c r="AK68" s="214"/>
      <c r="AL68" s="214">
        <v>11000000</v>
      </c>
      <c r="AM68" s="214">
        <f t="shared" si="12"/>
        <v>0</v>
      </c>
      <c r="AN68" s="132">
        <f t="shared" si="19"/>
        <v>11000000</v>
      </c>
      <c r="AO68" s="214">
        <f t="shared" si="13"/>
        <v>-9400000</v>
      </c>
      <c r="AP68" s="204">
        <f t="shared" si="28"/>
        <v>0</v>
      </c>
      <c r="AQ68" s="214">
        <f t="shared" si="29"/>
        <v>0</v>
      </c>
      <c r="AR68" s="214"/>
      <c r="AS68" s="214"/>
      <c r="AT68" s="197">
        <f t="shared" si="33"/>
        <v>0</v>
      </c>
      <c r="AU68" s="216">
        <f t="shared" si="34"/>
        <v>1600000</v>
      </c>
    </row>
    <row r="69" spans="1:47" ht="15.75" x14ac:dyDescent="0.25">
      <c r="A69" s="212">
        <v>59</v>
      </c>
      <c r="B69" s="72" t="s">
        <v>140</v>
      </c>
      <c r="C69" s="73" t="s">
        <v>141</v>
      </c>
      <c r="D69" s="72">
        <v>26</v>
      </c>
      <c r="E69" s="131">
        <f t="shared" si="30"/>
        <v>6000000</v>
      </c>
      <c r="F69" s="126">
        <v>4450000</v>
      </c>
      <c r="G69" s="126">
        <v>500000</v>
      </c>
      <c r="H69" s="126">
        <v>250000</v>
      </c>
      <c r="I69" s="126"/>
      <c r="J69" s="126"/>
      <c r="K69" s="126">
        <v>300000</v>
      </c>
      <c r="L69" s="126">
        <v>500000</v>
      </c>
      <c r="M69" s="213">
        <f>'BẢNG CHẤM CÔNG T3'!D69</f>
        <v>20</v>
      </c>
      <c r="N69" s="213">
        <f>'BẢNG CHẤM CÔNG T3'!E69</f>
        <v>56.5</v>
      </c>
      <c r="O69" s="213">
        <f>'BẢNG CHẤM CÔNG T3'!F69</f>
        <v>2</v>
      </c>
      <c r="P69" s="213">
        <f>'BẢNG CHẤM CÔNG T3'!G69</f>
        <v>0</v>
      </c>
      <c r="Q69" s="213">
        <f>'BẢNG CHẤM CÔNG T3'!H69</f>
        <v>16</v>
      </c>
      <c r="R69" s="213">
        <f>'BẢNG CHẤM CÔNG T3'!I69</f>
        <v>0</v>
      </c>
      <c r="S69" s="213">
        <f>'BẢNG CHẤM CÔNG T3'!J69</f>
        <v>2</v>
      </c>
      <c r="T69" s="213">
        <f>'BẢNG CHẤM CÔNG T3'!K69</f>
        <v>0</v>
      </c>
      <c r="U69" s="213">
        <f>'BẢNG CHẤM CÔNG T3'!L69</f>
        <v>0</v>
      </c>
      <c r="V69" s="213">
        <f>'BẢNG CHẤM CÔNG T3'!M69</f>
        <v>0</v>
      </c>
      <c r="W69" s="214">
        <f t="shared" si="4"/>
        <v>3423076.923076923</v>
      </c>
      <c r="X69" s="214">
        <f t="shared" si="5"/>
        <v>1813161.0576923077</v>
      </c>
      <c r="Y69" s="214">
        <f t="shared" si="23"/>
        <v>77019.230769230766</v>
      </c>
      <c r="Z69" s="214">
        <f t="shared" si="31"/>
        <v>684615.38461538462</v>
      </c>
      <c r="AA69" s="214">
        <f t="shared" si="8"/>
        <v>384615.38461538462</v>
      </c>
      <c r="AB69" s="214">
        <f t="shared" si="24"/>
        <v>192307.69230769231</v>
      </c>
      <c r="AC69" s="214">
        <f t="shared" si="10"/>
        <v>0</v>
      </c>
      <c r="AD69" s="214">
        <f t="shared" si="11"/>
        <v>0</v>
      </c>
      <c r="AE69" s="214">
        <f t="shared" si="32"/>
        <v>230769.23076923078</v>
      </c>
      <c r="AF69" s="214">
        <f t="shared" si="17"/>
        <v>384615.38461538462</v>
      </c>
      <c r="AG69" s="214"/>
      <c r="AH69" s="215">
        <f t="shared" si="18"/>
        <v>7190180.2884615399</v>
      </c>
      <c r="AI69" s="214"/>
      <c r="AJ69" s="214"/>
      <c r="AK69" s="214"/>
      <c r="AL69" s="214">
        <v>11000000</v>
      </c>
      <c r="AM69" s="214">
        <f t="shared" si="12"/>
        <v>0</v>
      </c>
      <c r="AN69" s="132">
        <f t="shared" si="19"/>
        <v>11980925.48076923</v>
      </c>
      <c r="AO69" s="214">
        <f t="shared" si="13"/>
        <v>-4790745.1923076902</v>
      </c>
      <c r="AP69" s="204">
        <f t="shared" si="28"/>
        <v>0</v>
      </c>
      <c r="AQ69" s="214">
        <f t="shared" si="29"/>
        <v>0</v>
      </c>
      <c r="AR69" s="214"/>
      <c r="AS69" s="214"/>
      <c r="AT69" s="197">
        <f t="shared" si="33"/>
        <v>0</v>
      </c>
      <c r="AU69" s="216">
        <f t="shared" si="34"/>
        <v>7190180.2884615399</v>
      </c>
    </row>
    <row r="70" spans="1:47" ht="15.75" x14ac:dyDescent="0.25">
      <c r="A70" s="212">
        <v>60</v>
      </c>
      <c r="B70" s="72" t="s">
        <v>142</v>
      </c>
      <c r="C70" s="73" t="s">
        <v>143</v>
      </c>
      <c r="D70" s="72">
        <v>26</v>
      </c>
      <c r="E70" s="131">
        <f t="shared" si="30"/>
        <v>6000000</v>
      </c>
      <c r="F70" s="126">
        <v>4450000</v>
      </c>
      <c r="G70" s="126">
        <v>500000</v>
      </c>
      <c r="H70" s="126">
        <v>250000</v>
      </c>
      <c r="I70" s="126"/>
      <c r="J70" s="126"/>
      <c r="K70" s="126">
        <v>300000</v>
      </c>
      <c r="L70" s="126">
        <v>500000</v>
      </c>
      <c r="M70" s="213">
        <f>'BẢNG CHẤM CÔNG T3'!D70</f>
        <v>20</v>
      </c>
      <c r="N70" s="213">
        <f>'BẢNG CHẤM CÔNG T3'!E70</f>
        <v>61.5</v>
      </c>
      <c r="O70" s="213">
        <f>'BẢNG CHẤM CÔNG T3'!F70</f>
        <v>2.5</v>
      </c>
      <c r="P70" s="213">
        <f>'BẢNG CHẤM CÔNG T3'!G70</f>
        <v>0</v>
      </c>
      <c r="Q70" s="213">
        <f>'BẢNG CHẤM CÔNG T3'!H70</f>
        <v>0</v>
      </c>
      <c r="R70" s="213">
        <f>'BẢNG CHẤM CÔNG T3'!I70</f>
        <v>0</v>
      </c>
      <c r="S70" s="213">
        <f>'BẢNG CHẤM CÔNG T3'!J70</f>
        <v>1</v>
      </c>
      <c r="T70" s="213">
        <f>'BẢNG CHẤM CÔNG T3'!K70</f>
        <v>0</v>
      </c>
      <c r="U70" s="213">
        <f>'BẢNG CHẤM CÔNG T3'!L70</f>
        <v>0</v>
      </c>
      <c r="V70" s="213">
        <f>'BẢNG CHẤM CÔNG T3'!M70</f>
        <v>0</v>
      </c>
      <c r="W70" s="214">
        <f t="shared" si="4"/>
        <v>3423076.923076923</v>
      </c>
      <c r="X70" s="214">
        <f t="shared" si="5"/>
        <v>1973617.7884615385</v>
      </c>
      <c r="Y70" s="214">
        <f t="shared" si="23"/>
        <v>96274.038461538468</v>
      </c>
      <c r="Z70" s="214">
        <f t="shared" si="31"/>
        <v>0</v>
      </c>
      <c r="AA70" s="214">
        <f t="shared" si="8"/>
        <v>384615.38461538462</v>
      </c>
      <c r="AB70" s="214">
        <f t="shared" si="24"/>
        <v>192307.69230769231</v>
      </c>
      <c r="AC70" s="214">
        <f t="shared" si="10"/>
        <v>0</v>
      </c>
      <c r="AD70" s="214">
        <f t="shared" si="11"/>
        <v>0</v>
      </c>
      <c r="AE70" s="214">
        <f t="shared" si="32"/>
        <v>230769.23076923078</v>
      </c>
      <c r="AF70" s="214">
        <f t="shared" si="17"/>
        <v>384615.38461538462</v>
      </c>
      <c r="AG70" s="214"/>
      <c r="AH70" s="215">
        <f t="shared" si="18"/>
        <v>6685276.442307693</v>
      </c>
      <c r="AI70" s="214"/>
      <c r="AJ70" s="214"/>
      <c r="AK70" s="214"/>
      <c r="AL70" s="214">
        <v>11000000</v>
      </c>
      <c r="AM70" s="214">
        <f t="shared" si="12"/>
        <v>0</v>
      </c>
      <c r="AN70" s="132">
        <f t="shared" si="19"/>
        <v>11700661.057692308</v>
      </c>
      <c r="AO70" s="214">
        <f t="shared" si="13"/>
        <v>-5015384.615384615</v>
      </c>
      <c r="AP70" s="204">
        <f t="shared" si="28"/>
        <v>0</v>
      </c>
      <c r="AQ70" s="214">
        <f t="shared" si="29"/>
        <v>0</v>
      </c>
      <c r="AR70" s="214"/>
      <c r="AS70" s="214"/>
      <c r="AT70" s="197">
        <f t="shared" si="33"/>
        <v>0</v>
      </c>
      <c r="AU70" s="216">
        <f t="shared" si="34"/>
        <v>6685276.442307693</v>
      </c>
    </row>
    <row r="71" spans="1:47" ht="15.75" x14ac:dyDescent="0.25">
      <c r="A71" s="212">
        <v>61</v>
      </c>
      <c r="B71" s="72" t="s">
        <v>144</v>
      </c>
      <c r="C71" s="73" t="s">
        <v>145</v>
      </c>
      <c r="D71" s="72">
        <v>26</v>
      </c>
      <c r="E71" s="131">
        <f t="shared" si="30"/>
        <v>6000000</v>
      </c>
      <c r="F71" s="126">
        <v>4450000</v>
      </c>
      <c r="G71" s="126">
        <v>500000</v>
      </c>
      <c r="H71" s="126">
        <v>250000</v>
      </c>
      <c r="I71" s="126"/>
      <c r="J71" s="126"/>
      <c r="K71" s="126">
        <v>300000</v>
      </c>
      <c r="L71" s="126">
        <v>500000</v>
      </c>
      <c r="M71" s="213">
        <f>'BẢNG CHẤM CÔNG T3'!D71</f>
        <v>19</v>
      </c>
      <c r="N71" s="213">
        <f>'BẢNG CHẤM CÔNG T3'!E71</f>
        <v>55</v>
      </c>
      <c r="O71" s="213">
        <f>'BẢNG CHẤM CÔNG T3'!F71</f>
        <v>2.5</v>
      </c>
      <c r="P71" s="213">
        <f>'BẢNG CHẤM CÔNG T3'!G71</f>
        <v>0</v>
      </c>
      <c r="Q71" s="213">
        <f>'BẢNG CHẤM CÔNG T3'!H71</f>
        <v>8</v>
      </c>
      <c r="R71" s="213">
        <f>'BẢNG CHẤM CÔNG T3'!I71</f>
        <v>0</v>
      </c>
      <c r="S71" s="213">
        <f>'BẢNG CHẤM CÔNG T3'!J71</f>
        <v>0</v>
      </c>
      <c r="T71" s="213">
        <f>'BẢNG CHẤM CÔNG T3'!K71</f>
        <v>0</v>
      </c>
      <c r="U71" s="213">
        <f>'BẢNG CHẤM CÔNG T3'!L71</f>
        <v>0</v>
      </c>
      <c r="V71" s="213">
        <f>'BẢNG CHẤM CÔNG T3'!M71</f>
        <v>0</v>
      </c>
      <c r="W71" s="214">
        <f t="shared" si="4"/>
        <v>3251923.076923077</v>
      </c>
      <c r="X71" s="214">
        <f t="shared" si="5"/>
        <v>1765024.0384615385</v>
      </c>
      <c r="Y71" s="214">
        <f t="shared" si="23"/>
        <v>96274.038461538468</v>
      </c>
      <c r="Z71" s="214">
        <f t="shared" si="31"/>
        <v>342307.69230769231</v>
      </c>
      <c r="AA71" s="214">
        <f t="shared" si="8"/>
        <v>365384.61538461538</v>
      </c>
      <c r="AB71" s="214">
        <f t="shared" si="24"/>
        <v>182692.30769230769</v>
      </c>
      <c r="AC71" s="214">
        <f t="shared" si="10"/>
        <v>0</v>
      </c>
      <c r="AD71" s="214">
        <f t="shared" si="11"/>
        <v>0</v>
      </c>
      <c r="AE71" s="214">
        <f t="shared" si="32"/>
        <v>219230.76923076925</v>
      </c>
      <c r="AF71" s="214">
        <f t="shared" si="17"/>
        <v>365384.61538461538</v>
      </c>
      <c r="AG71" s="214"/>
      <c r="AH71" s="215">
        <f t="shared" si="18"/>
        <v>6588221.1538461531</v>
      </c>
      <c r="AI71" s="214"/>
      <c r="AJ71" s="214"/>
      <c r="AK71" s="214"/>
      <c r="AL71" s="214">
        <v>11000000</v>
      </c>
      <c r="AM71" s="214">
        <f t="shared" si="12"/>
        <v>0</v>
      </c>
      <c r="AN71" s="132">
        <f t="shared" si="19"/>
        <v>11802283.653846154</v>
      </c>
      <c r="AO71" s="214">
        <f t="shared" si="13"/>
        <v>-5214062.5000000009</v>
      </c>
      <c r="AP71" s="204">
        <f t="shared" si="28"/>
        <v>0</v>
      </c>
      <c r="AQ71" s="214">
        <f t="shared" si="29"/>
        <v>0</v>
      </c>
      <c r="AR71" s="214"/>
      <c r="AS71" s="214"/>
      <c r="AT71" s="197">
        <f t="shared" si="33"/>
        <v>0</v>
      </c>
      <c r="AU71" s="216">
        <f t="shared" si="34"/>
        <v>6588221.1538461531</v>
      </c>
    </row>
    <row r="72" spans="1:47" ht="15.75" x14ac:dyDescent="0.25">
      <c r="A72" s="212">
        <v>62</v>
      </c>
      <c r="B72" s="72" t="s">
        <v>146</v>
      </c>
      <c r="C72" s="73" t="s">
        <v>147</v>
      </c>
      <c r="D72" s="72">
        <v>26</v>
      </c>
      <c r="E72" s="131">
        <f t="shared" si="30"/>
        <v>5200000</v>
      </c>
      <c r="F72" s="126">
        <v>4450000</v>
      </c>
      <c r="G72" s="126">
        <v>500000</v>
      </c>
      <c r="H72" s="126">
        <v>250000</v>
      </c>
      <c r="I72" s="126"/>
      <c r="J72" s="126"/>
      <c r="K72" s="126"/>
      <c r="L72" s="126"/>
      <c r="M72" s="213">
        <f>'BẢNG CHẤM CÔNG T3'!D72</f>
        <v>9</v>
      </c>
      <c r="N72" s="213">
        <f>'BẢNG CHẤM CÔNG T3'!E72</f>
        <v>12</v>
      </c>
      <c r="O72" s="213">
        <f>'BẢNG CHẤM CÔNG T3'!F72</f>
        <v>0</v>
      </c>
      <c r="P72" s="213">
        <f>'BẢNG CHẤM CÔNG T3'!G72</f>
        <v>0</v>
      </c>
      <c r="Q72" s="213">
        <f>'BẢNG CHẤM CÔNG T3'!H72</f>
        <v>0</v>
      </c>
      <c r="R72" s="213">
        <f>'BẢNG CHẤM CÔNG T3'!I72</f>
        <v>0</v>
      </c>
      <c r="S72" s="213">
        <f>'BẢNG CHẤM CÔNG T3'!J72</f>
        <v>0</v>
      </c>
      <c r="T72" s="213">
        <f>'BẢNG CHẤM CÔNG T3'!K72</f>
        <v>0</v>
      </c>
      <c r="U72" s="213">
        <f>'BẢNG CHẤM CÔNG T3'!L72</f>
        <v>0</v>
      </c>
      <c r="V72" s="213">
        <f>'BẢNG CHẤM CÔNG T3'!M72</f>
        <v>0</v>
      </c>
      <c r="W72" s="214">
        <f t="shared" si="4"/>
        <v>1540384.6153846155</v>
      </c>
      <c r="X72" s="214">
        <f t="shared" si="5"/>
        <v>385096.15384615387</v>
      </c>
      <c r="Y72" s="214">
        <f t="shared" si="23"/>
        <v>0</v>
      </c>
      <c r="Z72" s="214">
        <f t="shared" si="31"/>
        <v>0</v>
      </c>
      <c r="AA72" s="214">
        <f t="shared" si="8"/>
        <v>173076.92307692306</v>
      </c>
      <c r="AB72" s="214">
        <f t="shared" si="24"/>
        <v>86538.461538461532</v>
      </c>
      <c r="AC72" s="214">
        <f t="shared" si="10"/>
        <v>0</v>
      </c>
      <c r="AD72" s="214">
        <f t="shared" si="11"/>
        <v>0</v>
      </c>
      <c r="AE72" s="214">
        <f t="shared" si="32"/>
        <v>0</v>
      </c>
      <c r="AF72" s="214">
        <f t="shared" si="17"/>
        <v>0</v>
      </c>
      <c r="AG72" s="214"/>
      <c r="AH72" s="215">
        <f t="shared" si="18"/>
        <v>2185096.153846154</v>
      </c>
      <c r="AI72" s="214"/>
      <c r="AJ72" s="214"/>
      <c r="AK72" s="214"/>
      <c r="AL72" s="214">
        <v>11000000</v>
      </c>
      <c r="AM72" s="214">
        <f t="shared" si="12"/>
        <v>0</v>
      </c>
      <c r="AN72" s="132">
        <f t="shared" si="19"/>
        <v>11128365.384615384</v>
      </c>
      <c r="AO72" s="214">
        <f t="shared" si="13"/>
        <v>-8943269.2307692301</v>
      </c>
      <c r="AP72" s="204">
        <f t="shared" si="28"/>
        <v>0</v>
      </c>
      <c r="AQ72" s="214">
        <f t="shared" si="29"/>
        <v>0</v>
      </c>
      <c r="AR72" s="214"/>
      <c r="AS72" s="214"/>
      <c r="AT72" s="197">
        <f t="shared" si="33"/>
        <v>0</v>
      </c>
      <c r="AU72" s="216">
        <f t="shared" si="34"/>
        <v>2185096.153846154</v>
      </c>
    </row>
    <row r="73" spans="1:47" ht="15.75" x14ac:dyDescent="0.25">
      <c r="A73" s="212">
        <v>63</v>
      </c>
      <c r="B73" s="72" t="s">
        <v>148</v>
      </c>
      <c r="C73" s="73" t="s">
        <v>149</v>
      </c>
      <c r="D73" s="72">
        <v>26</v>
      </c>
      <c r="E73" s="131">
        <f t="shared" si="30"/>
        <v>5200000</v>
      </c>
      <c r="F73" s="126">
        <v>4450000</v>
      </c>
      <c r="G73" s="126">
        <v>500000</v>
      </c>
      <c r="H73" s="126">
        <v>250000</v>
      </c>
      <c r="I73" s="126"/>
      <c r="J73" s="126"/>
      <c r="K73" s="126"/>
      <c r="L73" s="126"/>
      <c r="M73" s="213">
        <f>'BẢNG CHẤM CÔNG T3'!D73</f>
        <v>10</v>
      </c>
      <c r="N73" s="213">
        <f>'BẢNG CHẤM CÔNG T3'!E73</f>
        <v>9</v>
      </c>
      <c r="O73" s="213">
        <f>'BẢNG CHẤM CÔNG T3'!F73</f>
        <v>3</v>
      </c>
      <c r="P73" s="213">
        <f>'BẢNG CHẤM CÔNG T3'!G73</f>
        <v>0</v>
      </c>
      <c r="Q73" s="213">
        <f>'BẢNG CHẤM CÔNG T3'!H73</f>
        <v>8</v>
      </c>
      <c r="R73" s="213">
        <f>'BẢNG CHẤM CÔNG T3'!I73</f>
        <v>0</v>
      </c>
      <c r="S73" s="213">
        <f>'BẢNG CHẤM CÔNG T3'!J73</f>
        <v>0</v>
      </c>
      <c r="T73" s="213">
        <f>'BẢNG CHẤM CÔNG T3'!K73</f>
        <v>0</v>
      </c>
      <c r="U73" s="213">
        <f>'BẢNG CHẤM CÔNG T3'!L73</f>
        <v>0</v>
      </c>
      <c r="V73" s="213">
        <f>'BẢNG CHẤM CÔNG T3'!M73</f>
        <v>0</v>
      </c>
      <c r="W73" s="214">
        <f t="shared" si="4"/>
        <v>1711538.4615384615</v>
      </c>
      <c r="X73" s="214">
        <f t="shared" si="5"/>
        <v>288822.11538461538</v>
      </c>
      <c r="Y73" s="214">
        <f t="shared" si="23"/>
        <v>115528.84615384617</v>
      </c>
      <c r="Z73" s="214">
        <f t="shared" si="31"/>
        <v>342307.69230769231</v>
      </c>
      <c r="AA73" s="214">
        <f t="shared" si="8"/>
        <v>192307.69230769231</v>
      </c>
      <c r="AB73" s="214">
        <f t="shared" si="24"/>
        <v>96153.846153846156</v>
      </c>
      <c r="AC73" s="214">
        <f t="shared" si="10"/>
        <v>0</v>
      </c>
      <c r="AD73" s="214">
        <f t="shared" si="11"/>
        <v>0</v>
      </c>
      <c r="AE73" s="214">
        <f t="shared" si="32"/>
        <v>0</v>
      </c>
      <c r="AF73" s="214">
        <f t="shared" si="17"/>
        <v>0</v>
      </c>
      <c r="AG73" s="214">
        <v>975360.57692307699</v>
      </c>
      <c r="AH73" s="215">
        <f t="shared" si="18"/>
        <v>3722019.230769231</v>
      </c>
      <c r="AI73" s="214"/>
      <c r="AJ73" s="214"/>
      <c r="AK73" s="214"/>
      <c r="AL73" s="214">
        <v>11000000</v>
      </c>
      <c r="AM73" s="214">
        <f t="shared" si="12"/>
        <v>0</v>
      </c>
      <c r="AN73" s="132">
        <f t="shared" si="19"/>
        <v>11318774.038461538</v>
      </c>
      <c r="AO73" s="214">
        <f t="shared" si="13"/>
        <v>-7596754.807692307</v>
      </c>
      <c r="AP73" s="204">
        <f t="shared" si="28"/>
        <v>0</v>
      </c>
      <c r="AQ73" s="214">
        <f t="shared" si="29"/>
        <v>0</v>
      </c>
      <c r="AR73" s="214"/>
      <c r="AS73" s="214"/>
      <c r="AT73" s="197">
        <f t="shared" si="33"/>
        <v>0</v>
      </c>
      <c r="AU73" s="216">
        <f t="shared" si="34"/>
        <v>3722019.230769231</v>
      </c>
    </row>
    <row r="74" spans="1:47" ht="15.75" x14ac:dyDescent="0.25">
      <c r="A74" s="212">
        <v>64</v>
      </c>
      <c r="B74" s="72" t="s">
        <v>136</v>
      </c>
      <c r="C74" s="73" t="s">
        <v>137</v>
      </c>
      <c r="D74" s="72">
        <v>26</v>
      </c>
      <c r="E74" s="131">
        <f t="shared" si="30"/>
        <v>6000000</v>
      </c>
      <c r="F74" s="126">
        <v>4450000</v>
      </c>
      <c r="G74" s="126">
        <v>500000</v>
      </c>
      <c r="H74" s="126">
        <v>250000</v>
      </c>
      <c r="I74" s="126"/>
      <c r="J74" s="126"/>
      <c r="K74" s="126">
        <v>300000</v>
      </c>
      <c r="L74" s="126">
        <v>500000</v>
      </c>
      <c r="M74" s="213">
        <f>'BẢNG CHẤM CÔNG T3'!D74</f>
        <v>20</v>
      </c>
      <c r="N74" s="213">
        <f>'BẢNG CHẤM CÔNG T3'!E74</f>
        <v>45</v>
      </c>
      <c r="O74" s="213">
        <f>'BẢNG CHẤM CÔNG T3'!F74</f>
        <v>3</v>
      </c>
      <c r="P74" s="213">
        <f>'BẢNG CHẤM CÔNG T3'!G74</f>
        <v>0</v>
      </c>
      <c r="Q74" s="213">
        <f>'BẢNG CHẤM CÔNG T3'!H74</f>
        <v>0</v>
      </c>
      <c r="R74" s="213">
        <f>'BẢNG CHẤM CÔNG T3'!I74</f>
        <v>0</v>
      </c>
      <c r="S74" s="213">
        <f>'BẢNG CHẤM CÔNG T3'!J74</f>
        <v>0</v>
      </c>
      <c r="T74" s="213">
        <f>'BẢNG CHẤM CÔNG T3'!K74</f>
        <v>0</v>
      </c>
      <c r="U74" s="213">
        <f>'BẢNG CHẤM CÔNG T3'!L74</f>
        <v>0</v>
      </c>
      <c r="V74" s="213">
        <f>'BẢNG CHẤM CÔNG T3'!M74</f>
        <v>0</v>
      </c>
      <c r="W74" s="214">
        <f t="shared" ref="W74:W96" si="35">F74/D74*(M74+V74)</f>
        <v>3423076.923076923</v>
      </c>
      <c r="X74" s="214">
        <f t="shared" ref="X74:X88" si="36">F74/D74/8*N74*1.5</f>
        <v>1444110.576923077</v>
      </c>
      <c r="Y74" s="214">
        <f t="shared" si="23"/>
        <v>115528.84615384617</v>
      </c>
      <c r="Z74" s="214">
        <f t="shared" si="31"/>
        <v>0</v>
      </c>
      <c r="AA74" s="214">
        <f t="shared" ref="AA74:AA92" si="37">G74/D74*M74</f>
        <v>384615.38461538462</v>
      </c>
      <c r="AB74" s="214">
        <f t="shared" si="24"/>
        <v>192307.69230769231</v>
      </c>
      <c r="AC74" s="214">
        <f t="shared" ref="AC74:AC92" si="38">I74/D74*M74</f>
        <v>0</v>
      </c>
      <c r="AD74" s="214">
        <f t="shared" ref="AD74:AD92" si="39">J74/D74*M74</f>
        <v>0</v>
      </c>
      <c r="AE74" s="214">
        <f t="shared" si="32"/>
        <v>230769.23076923078</v>
      </c>
      <c r="AF74" s="214">
        <f t="shared" si="17"/>
        <v>384615.38461538462</v>
      </c>
      <c r="AG74" s="214"/>
      <c r="AH74" s="215">
        <f t="shared" si="18"/>
        <v>6175024.038461539</v>
      </c>
      <c r="AI74" s="214"/>
      <c r="AJ74" s="214"/>
      <c r="AK74" s="214"/>
      <c r="AL74" s="214">
        <v>11000000</v>
      </c>
      <c r="AM74" s="214">
        <f t="shared" ref="AM74:AM96" si="40">AK74*4400000</f>
        <v>0</v>
      </c>
      <c r="AN74" s="132">
        <f t="shared" si="19"/>
        <v>11532716.346153846</v>
      </c>
      <c r="AO74" s="214">
        <f t="shared" ref="AO74:AO96" si="41">AH74-AN74</f>
        <v>-5357692.307692307</v>
      </c>
      <c r="AP74" s="204">
        <f t="shared" si="28"/>
        <v>0</v>
      </c>
      <c r="AQ74" s="214">
        <f t="shared" si="29"/>
        <v>0</v>
      </c>
      <c r="AR74" s="214"/>
      <c r="AS74" s="214"/>
      <c r="AT74" s="197">
        <f t="shared" si="33"/>
        <v>0</v>
      </c>
      <c r="AU74" s="216">
        <f t="shared" si="34"/>
        <v>6175024.038461539</v>
      </c>
    </row>
    <row r="75" spans="1:47" ht="15.75" x14ac:dyDescent="0.25">
      <c r="A75" s="212">
        <v>65</v>
      </c>
      <c r="B75" s="72" t="s">
        <v>164</v>
      </c>
      <c r="C75" s="73" t="s">
        <v>165</v>
      </c>
      <c r="D75" s="72">
        <v>26</v>
      </c>
      <c r="E75" s="131">
        <f t="shared" si="30"/>
        <v>5700000</v>
      </c>
      <c r="F75" s="126">
        <v>4450000</v>
      </c>
      <c r="G75" s="126">
        <v>500000</v>
      </c>
      <c r="H75" s="126">
        <v>250000</v>
      </c>
      <c r="I75" s="126"/>
      <c r="J75" s="126"/>
      <c r="K75" s="126"/>
      <c r="L75" s="126">
        <v>500000</v>
      </c>
      <c r="M75" s="213">
        <f>'BẢNG CHẤM CÔNG T3'!D75</f>
        <v>9</v>
      </c>
      <c r="N75" s="213">
        <f>'BẢNG CHẤM CÔNG T3'!E75</f>
        <v>27.5</v>
      </c>
      <c r="O75" s="213">
        <f>'BẢNG CHẤM CÔNG T3'!F75</f>
        <v>0</v>
      </c>
      <c r="P75" s="213">
        <f>'BẢNG CHẤM CÔNG T3'!G75</f>
        <v>0</v>
      </c>
      <c r="Q75" s="213">
        <f>'BẢNG CHẤM CÔNG T3'!H75</f>
        <v>0</v>
      </c>
      <c r="R75" s="213">
        <f>'BẢNG CHẤM CÔNG T3'!I75</f>
        <v>0</v>
      </c>
      <c r="S75" s="213">
        <f>'BẢNG CHẤM CÔNG T3'!J75</f>
        <v>0</v>
      </c>
      <c r="T75" s="213">
        <f>'BẢNG CHẤM CÔNG T3'!K75</f>
        <v>0</v>
      </c>
      <c r="U75" s="213">
        <f>'BẢNG CHẤM CÔNG T3'!L75</f>
        <v>0</v>
      </c>
      <c r="V75" s="213">
        <f>'BẢNG CHẤM CÔNG T3'!M75</f>
        <v>0</v>
      </c>
      <c r="W75" s="214">
        <f t="shared" si="35"/>
        <v>1540384.6153846155</v>
      </c>
      <c r="X75" s="214">
        <f t="shared" si="36"/>
        <v>882512.01923076925</v>
      </c>
      <c r="Y75" s="214">
        <f t="shared" si="23"/>
        <v>0</v>
      </c>
      <c r="Z75" s="214">
        <f t="shared" si="31"/>
        <v>0</v>
      </c>
      <c r="AA75" s="214">
        <f t="shared" si="37"/>
        <v>173076.92307692306</v>
      </c>
      <c r="AB75" s="214">
        <f t="shared" si="24"/>
        <v>86538.461538461532</v>
      </c>
      <c r="AC75" s="214">
        <f t="shared" si="38"/>
        <v>0</v>
      </c>
      <c r="AD75" s="214">
        <f t="shared" si="39"/>
        <v>0</v>
      </c>
      <c r="AE75" s="214">
        <f t="shared" si="32"/>
        <v>0</v>
      </c>
      <c r="AF75" s="214">
        <f t="shared" ref="AF75:AF92" si="42">L75/D75*M75</f>
        <v>173076.92307692306</v>
      </c>
      <c r="AG75" s="214"/>
      <c r="AH75" s="215">
        <f t="shared" ref="AH75:AH96" si="43">SUM(W75:AG75)</f>
        <v>2855588.9423076925</v>
      </c>
      <c r="AI75" s="214"/>
      <c r="AJ75" s="214"/>
      <c r="AK75" s="214"/>
      <c r="AL75" s="214">
        <v>11000000</v>
      </c>
      <c r="AM75" s="214">
        <f t="shared" si="40"/>
        <v>0</v>
      </c>
      <c r="AN75" s="132">
        <f t="shared" si="19"/>
        <v>11294170.673076924</v>
      </c>
      <c r="AO75" s="214">
        <f t="shared" si="41"/>
        <v>-8438581.7307692319</v>
      </c>
      <c r="AP75" s="204">
        <f t="shared" si="28"/>
        <v>0</v>
      </c>
      <c r="AQ75" s="214">
        <f t="shared" si="29"/>
        <v>0</v>
      </c>
      <c r="AR75" s="214"/>
      <c r="AS75" s="214"/>
      <c r="AT75" s="197">
        <f t="shared" si="33"/>
        <v>0</v>
      </c>
      <c r="AU75" s="216">
        <f t="shared" si="34"/>
        <v>2855588.9423076925</v>
      </c>
    </row>
    <row r="76" spans="1:47" ht="15.75" x14ac:dyDescent="0.25">
      <c r="A76" s="212">
        <v>66</v>
      </c>
      <c r="B76" s="72" t="s">
        <v>166</v>
      </c>
      <c r="C76" s="73" t="s">
        <v>167</v>
      </c>
      <c r="D76" s="72">
        <v>26</v>
      </c>
      <c r="E76" s="131">
        <f t="shared" si="30"/>
        <v>5700000</v>
      </c>
      <c r="F76" s="126">
        <v>4450000</v>
      </c>
      <c r="G76" s="126">
        <v>500000</v>
      </c>
      <c r="H76" s="126">
        <v>250000</v>
      </c>
      <c r="I76" s="126"/>
      <c r="J76" s="126"/>
      <c r="K76" s="126"/>
      <c r="L76" s="126">
        <v>500000</v>
      </c>
      <c r="M76" s="213">
        <f>'BẢNG CHẤM CÔNG T3'!D76</f>
        <v>9</v>
      </c>
      <c r="N76" s="213">
        <f>'BẢNG CHẤM CÔNG T3'!E76</f>
        <v>28.5</v>
      </c>
      <c r="O76" s="213">
        <f>'BẢNG CHẤM CÔNG T3'!F76</f>
        <v>0</v>
      </c>
      <c r="P76" s="213">
        <f>'BẢNG CHẤM CÔNG T3'!G76</f>
        <v>0</v>
      </c>
      <c r="Q76" s="213">
        <f>'BẢNG CHẤM CÔNG T3'!H76</f>
        <v>8</v>
      </c>
      <c r="R76" s="213">
        <f>'BẢNG CHẤM CÔNG T3'!I76</f>
        <v>0</v>
      </c>
      <c r="S76" s="213">
        <f>'BẢNG CHẤM CÔNG T3'!J76</f>
        <v>0</v>
      </c>
      <c r="T76" s="213">
        <f>'BẢNG CHẤM CÔNG T3'!K76</f>
        <v>0</v>
      </c>
      <c r="U76" s="213">
        <f>'BẢNG CHẤM CÔNG T3'!L76</f>
        <v>0</v>
      </c>
      <c r="V76" s="213">
        <f>'BẢNG CHẤM CÔNG T3'!M76</f>
        <v>0</v>
      </c>
      <c r="W76" s="214">
        <f t="shared" si="35"/>
        <v>1540384.6153846155</v>
      </c>
      <c r="X76" s="214">
        <f t="shared" si="36"/>
        <v>914603.36538461526</v>
      </c>
      <c r="Y76" s="214">
        <f t="shared" si="23"/>
        <v>0</v>
      </c>
      <c r="Z76" s="214">
        <f t="shared" si="31"/>
        <v>342307.69230769231</v>
      </c>
      <c r="AA76" s="214">
        <f t="shared" si="37"/>
        <v>173076.92307692306</v>
      </c>
      <c r="AB76" s="214">
        <f t="shared" si="24"/>
        <v>86538.461538461532</v>
      </c>
      <c r="AC76" s="214">
        <f t="shared" si="38"/>
        <v>0</v>
      </c>
      <c r="AD76" s="214">
        <f t="shared" si="39"/>
        <v>0</v>
      </c>
      <c r="AE76" s="214">
        <f t="shared" si="32"/>
        <v>0</v>
      </c>
      <c r="AF76" s="214">
        <f t="shared" si="42"/>
        <v>173076.92307692306</v>
      </c>
      <c r="AG76" s="214"/>
      <c r="AH76" s="215">
        <f t="shared" si="43"/>
        <v>3229987.980769231</v>
      </c>
      <c r="AI76" s="214"/>
      <c r="AJ76" s="214"/>
      <c r="AK76" s="214"/>
      <c r="AL76" s="214">
        <v>11000000</v>
      </c>
      <c r="AM76" s="214">
        <f t="shared" si="40"/>
        <v>0</v>
      </c>
      <c r="AN76" s="132">
        <f t="shared" si="19"/>
        <v>11476021.634615384</v>
      </c>
      <c r="AO76" s="214">
        <f t="shared" si="41"/>
        <v>-8246033.6538461531</v>
      </c>
      <c r="AP76" s="204">
        <f t="shared" si="28"/>
        <v>0</v>
      </c>
      <c r="AQ76" s="214">
        <f t="shared" si="29"/>
        <v>0</v>
      </c>
      <c r="AR76" s="214"/>
      <c r="AS76" s="214"/>
      <c r="AT76" s="197">
        <f t="shared" si="33"/>
        <v>0</v>
      </c>
      <c r="AU76" s="216">
        <f t="shared" si="34"/>
        <v>3229987.980769231</v>
      </c>
    </row>
    <row r="77" spans="1:47" ht="15.75" x14ac:dyDescent="0.25">
      <c r="A77" s="212">
        <v>67</v>
      </c>
      <c r="B77" s="72" t="s">
        <v>160</v>
      </c>
      <c r="C77" s="73" t="s">
        <v>161</v>
      </c>
      <c r="D77" s="72">
        <v>26</v>
      </c>
      <c r="E77" s="131">
        <f t="shared" si="30"/>
        <v>5700000</v>
      </c>
      <c r="F77" s="126">
        <v>4450000</v>
      </c>
      <c r="G77" s="126">
        <v>500000</v>
      </c>
      <c r="H77" s="126">
        <v>250000</v>
      </c>
      <c r="I77" s="126"/>
      <c r="J77" s="126"/>
      <c r="K77" s="126"/>
      <c r="L77" s="126">
        <v>500000</v>
      </c>
      <c r="M77" s="213">
        <f>'BẢNG CHẤM CÔNG T3'!D77</f>
        <v>8</v>
      </c>
      <c r="N77" s="213">
        <f>'BẢNG CHẤM CÔNG T3'!E77</f>
        <v>11.5</v>
      </c>
      <c r="O77" s="213">
        <f>'BẢNG CHẤM CÔNG T3'!F77</f>
        <v>0</v>
      </c>
      <c r="P77" s="213">
        <f>'BẢNG CHẤM CÔNG T3'!G77</f>
        <v>0</v>
      </c>
      <c r="Q77" s="213">
        <f>'BẢNG CHẤM CÔNG T3'!H77</f>
        <v>0</v>
      </c>
      <c r="R77" s="213">
        <f>'BẢNG CHẤM CÔNG T3'!I77</f>
        <v>0</v>
      </c>
      <c r="S77" s="213">
        <f>'BẢNG CHẤM CÔNG T3'!J77</f>
        <v>1</v>
      </c>
      <c r="T77" s="213">
        <f>'BẢNG CHẤM CÔNG T3'!K77</f>
        <v>0</v>
      </c>
      <c r="U77" s="213">
        <f>'BẢNG CHẤM CÔNG T3'!L77</f>
        <v>0</v>
      </c>
      <c r="V77" s="213">
        <f>'BẢNG CHẤM CÔNG T3'!M77</f>
        <v>0</v>
      </c>
      <c r="W77" s="214">
        <f t="shared" si="35"/>
        <v>1369230.7692307692</v>
      </c>
      <c r="X77" s="214">
        <f t="shared" si="36"/>
        <v>369050.48076923075</v>
      </c>
      <c r="Y77" s="214">
        <f t="shared" si="23"/>
        <v>0</v>
      </c>
      <c r="Z77" s="214">
        <f t="shared" si="31"/>
        <v>0</v>
      </c>
      <c r="AA77" s="214">
        <f t="shared" si="37"/>
        <v>153846.15384615384</v>
      </c>
      <c r="AB77" s="214">
        <f t="shared" si="24"/>
        <v>76923.076923076922</v>
      </c>
      <c r="AC77" s="214">
        <f t="shared" si="38"/>
        <v>0</v>
      </c>
      <c r="AD77" s="214">
        <f t="shared" si="39"/>
        <v>0</v>
      </c>
      <c r="AE77" s="214">
        <f t="shared" si="32"/>
        <v>0</v>
      </c>
      <c r="AF77" s="214">
        <f t="shared" si="42"/>
        <v>153846.15384615384</v>
      </c>
      <c r="AG77" s="214"/>
      <c r="AH77" s="215">
        <f t="shared" si="43"/>
        <v>2122896.6346153845</v>
      </c>
      <c r="AI77" s="214"/>
      <c r="AJ77" s="214"/>
      <c r="AK77" s="214"/>
      <c r="AL77" s="214">
        <v>11000000</v>
      </c>
      <c r="AM77" s="214">
        <f t="shared" si="40"/>
        <v>0</v>
      </c>
      <c r="AN77" s="132">
        <f t="shared" si="19"/>
        <v>11123016.826923076</v>
      </c>
      <c r="AO77" s="214">
        <f t="shared" si="41"/>
        <v>-9000120.192307692</v>
      </c>
      <c r="AP77" s="204">
        <f t="shared" si="28"/>
        <v>0</v>
      </c>
      <c r="AQ77" s="214">
        <f t="shared" si="29"/>
        <v>0</v>
      </c>
      <c r="AR77" s="214"/>
      <c r="AS77" s="214"/>
      <c r="AT77" s="197">
        <f t="shared" si="33"/>
        <v>0</v>
      </c>
      <c r="AU77" s="216">
        <f t="shared" si="34"/>
        <v>2122896.6346153845</v>
      </c>
    </row>
    <row r="78" spans="1:47" ht="15.75" x14ac:dyDescent="0.25">
      <c r="A78" s="212">
        <v>68</v>
      </c>
      <c r="B78" s="72" t="s">
        <v>162</v>
      </c>
      <c r="C78" s="73" t="s">
        <v>163</v>
      </c>
      <c r="D78" s="72">
        <v>26</v>
      </c>
      <c r="E78" s="131">
        <f t="shared" si="30"/>
        <v>5700000</v>
      </c>
      <c r="F78" s="126">
        <v>4450000</v>
      </c>
      <c r="G78" s="126">
        <v>500000</v>
      </c>
      <c r="H78" s="126">
        <v>250000</v>
      </c>
      <c r="I78" s="126"/>
      <c r="J78" s="126"/>
      <c r="K78" s="126"/>
      <c r="L78" s="126">
        <v>500000</v>
      </c>
      <c r="M78" s="213">
        <f>'BẢNG CHẤM CÔNG T3'!D78</f>
        <v>7</v>
      </c>
      <c r="N78" s="213">
        <f>'BẢNG CHẤM CÔNG T3'!E78</f>
        <v>19</v>
      </c>
      <c r="O78" s="213">
        <f>'BẢNG CHẤM CÔNG T3'!F78</f>
        <v>0</v>
      </c>
      <c r="P78" s="213">
        <f>'BẢNG CHẤM CÔNG T3'!G78</f>
        <v>0</v>
      </c>
      <c r="Q78" s="213">
        <f>'BẢNG CHẤM CÔNG T3'!H78</f>
        <v>16</v>
      </c>
      <c r="R78" s="213">
        <f>'BẢNG CHẤM CÔNG T3'!I78</f>
        <v>0</v>
      </c>
      <c r="S78" s="213">
        <f>'BẢNG CHẤM CÔNG T3'!J78</f>
        <v>0</v>
      </c>
      <c r="T78" s="213">
        <f>'BẢNG CHẤM CÔNG T3'!K78</f>
        <v>0</v>
      </c>
      <c r="U78" s="213">
        <f>'BẢNG CHẤM CÔNG T3'!L78</f>
        <v>0</v>
      </c>
      <c r="V78" s="213">
        <f>'BẢNG CHẤM CÔNG T3'!M78</f>
        <v>0</v>
      </c>
      <c r="W78" s="214">
        <f t="shared" si="35"/>
        <v>1198076.923076923</v>
      </c>
      <c r="X78" s="214">
        <f t="shared" si="36"/>
        <v>609735.57692307699</v>
      </c>
      <c r="Y78" s="214">
        <f t="shared" si="23"/>
        <v>0</v>
      </c>
      <c r="Z78" s="214">
        <f t="shared" si="31"/>
        <v>684615.38461538462</v>
      </c>
      <c r="AA78" s="214">
        <f t="shared" si="37"/>
        <v>134615.38461538462</v>
      </c>
      <c r="AB78" s="214">
        <f t="shared" si="24"/>
        <v>67307.692307692312</v>
      </c>
      <c r="AC78" s="214">
        <f t="shared" si="38"/>
        <v>0</v>
      </c>
      <c r="AD78" s="214">
        <f t="shared" si="39"/>
        <v>0</v>
      </c>
      <c r="AE78" s="214">
        <f t="shared" si="32"/>
        <v>0</v>
      </c>
      <c r="AF78" s="214">
        <f t="shared" si="42"/>
        <v>134615.38461538462</v>
      </c>
      <c r="AG78" s="214"/>
      <c r="AH78" s="215">
        <f t="shared" si="43"/>
        <v>2828966.346153846</v>
      </c>
      <c r="AI78" s="214"/>
      <c r="AJ78" s="214"/>
      <c r="AK78" s="214"/>
      <c r="AL78" s="214">
        <v>11000000</v>
      </c>
      <c r="AM78" s="214">
        <f t="shared" si="40"/>
        <v>0</v>
      </c>
      <c r="AN78" s="132">
        <f t="shared" ref="AN78:AN96" si="44">F78/26/8*(N78*0.5+O78*0.8)+Z78/2+AI78+AL78+AM78</f>
        <v>11545552.884615384</v>
      </c>
      <c r="AO78" s="214">
        <f t="shared" si="41"/>
        <v>-8716586.538461538</v>
      </c>
      <c r="AP78" s="204">
        <f t="shared" si="28"/>
        <v>0</v>
      </c>
      <c r="AQ78" s="214">
        <f t="shared" si="29"/>
        <v>0</v>
      </c>
      <c r="AR78" s="214"/>
      <c r="AS78" s="214"/>
      <c r="AT78" s="197">
        <f t="shared" si="33"/>
        <v>0</v>
      </c>
      <c r="AU78" s="216">
        <f t="shared" si="34"/>
        <v>2828966.346153846</v>
      </c>
    </row>
    <row r="79" spans="1:47" ht="15.75" x14ac:dyDescent="0.25">
      <c r="A79" s="212">
        <v>69</v>
      </c>
      <c r="B79" s="72" t="s">
        <v>488</v>
      </c>
      <c r="C79" s="73" t="s">
        <v>490</v>
      </c>
      <c r="D79" s="72">
        <v>26</v>
      </c>
      <c r="E79" s="131">
        <f t="shared" si="30"/>
        <v>5700000</v>
      </c>
      <c r="F79" s="126">
        <v>4450000</v>
      </c>
      <c r="G79" s="126">
        <v>500000</v>
      </c>
      <c r="H79" s="126">
        <v>250000</v>
      </c>
      <c r="I79" s="126"/>
      <c r="J79" s="126"/>
      <c r="K79" s="126"/>
      <c r="L79" s="126">
        <v>500000</v>
      </c>
      <c r="M79" s="213">
        <f>'BẢNG CHẤM CÔNG T3'!D79</f>
        <v>10</v>
      </c>
      <c r="N79" s="213">
        <f>'BẢNG CHẤM CÔNG T3'!E79</f>
        <v>28.5</v>
      </c>
      <c r="O79" s="213">
        <f>'BẢNG CHẤM CÔNG T3'!F79</f>
        <v>0</v>
      </c>
      <c r="P79" s="213">
        <f>'BẢNG CHẤM CÔNG T3'!G79</f>
        <v>0</v>
      </c>
      <c r="Q79" s="213">
        <f>'BẢNG CHẤM CÔNG T3'!H79</f>
        <v>8</v>
      </c>
      <c r="R79" s="213">
        <f>'BẢNG CHẤM CÔNG T3'!I79</f>
        <v>0</v>
      </c>
      <c r="S79" s="213">
        <f>'BẢNG CHẤM CÔNG T3'!J79</f>
        <v>0</v>
      </c>
      <c r="T79" s="213">
        <f>'BẢNG CHẤM CÔNG T3'!K79</f>
        <v>0</v>
      </c>
      <c r="U79" s="213">
        <f>'BẢNG CHẤM CÔNG T3'!L79</f>
        <v>0</v>
      </c>
      <c r="V79" s="213">
        <f>'BẢNG CHẤM CÔNG T3'!M79</f>
        <v>0</v>
      </c>
      <c r="W79" s="214">
        <f t="shared" si="35"/>
        <v>1711538.4615384615</v>
      </c>
      <c r="X79" s="214">
        <f t="shared" si="36"/>
        <v>914603.36538461526</v>
      </c>
      <c r="Y79" s="214">
        <f t="shared" si="23"/>
        <v>0</v>
      </c>
      <c r="Z79" s="214">
        <f t="shared" si="31"/>
        <v>342307.69230769231</v>
      </c>
      <c r="AA79" s="214">
        <f t="shared" si="37"/>
        <v>192307.69230769231</v>
      </c>
      <c r="AB79" s="214">
        <f t="shared" si="24"/>
        <v>96153.846153846156</v>
      </c>
      <c r="AC79" s="214">
        <f t="shared" si="38"/>
        <v>0</v>
      </c>
      <c r="AD79" s="214">
        <f t="shared" si="39"/>
        <v>0</v>
      </c>
      <c r="AE79" s="214">
        <f t="shared" si="32"/>
        <v>0</v>
      </c>
      <c r="AF79" s="214">
        <f t="shared" si="42"/>
        <v>192307.69230769231</v>
      </c>
      <c r="AG79" s="214"/>
      <c r="AH79" s="215">
        <f t="shared" si="43"/>
        <v>3449218.7500000005</v>
      </c>
      <c r="AI79" s="214"/>
      <c r="AJ79" s="214"/>
      <c r="AK79" s="214"/>
      <c r="AL79" s="214">
        <v>11000000</v>
      </c>
      <c r="AM79" s="214">
        <f t="shared" si="40"/>
        <v>0</v>
      </c>
      <c r="AN79" s="132">
        <f t="shared" si="44"/>
        <v>11476021.634615384</v>
      </c>
      <c r="AO79" s="214">
        <f t="shared" si="41"/>
        <v>-8026802.884615384</v>
      </c>
      <c r="AP79" s="204">
        <f t="shared" si="28"/>
        <v>0</v>
      </c>
      <c r="AQ79" s="214">
        <f t="shared" si="29"/>
        <v>0</v>
      </c>
      <c r="AR79" s="214"/>
      <c r="AS79" s="214"/>
      <c r="AT79" s="197">
        <f t="shared" si="33"/>
        <v>0</v>
      </c>
      <c r="AU79" s="216">
        <f t="shared" si="34"/>
        <v>3449218.7500000005</v>
      </c>
    </row>
    <row r="80" spans="1:47" ht="15.75" x14ac:dyDescent="0.25">
      <c r="A80" s="212">
        <v>70</v>
      </c>
      <c r="B80" s="72" t="s">
        <v>491</v>
      </c>
      <c r="C80" s="73" t="s">
        <v>492</v>
      </c>
      <c r="D80" s="72">
        <v>26</v>
      </c>
      <c r="E80" s="131">
        <f t="shared" si="30"/>
        <v>5700000</v>
      </c>
      <c r="F80" s="126">
        <v>4450000</v>
      </c>
      <c r="G80" s="126">
        <v>500000</v>
      </c>
      <c r="H80" s="126">
        <v>250000</v>
      </c>
      <c r="I80" s="126"/>
      <c r="J80" s="126"/>
      <c r="K80" s="126"/>
      <c r="L80" s="126">
        <v>500000</v>
      </c>
      <c r="M80" s="213">
        <f>'BẢNG CHẤM CÔNG T3'!D80</f>
        <v>5</v>
      </c>
      <c r="N80" s="213">
        <f>'BẢNG CHẤM CÔNG T3'!E80</f>
        <v>17.5</v>
      </c>
      <c r="O80" s="213">
        <f>'BẢNG CHẤM CÔNG T3'!F80</f>
        <v>0</v>
      </c>
      <c r="P80" s="213">
        <f>'BẢNG CHẤM CÔNG T3'!G80</f>
        <v>0</v>
      </c>
      <c r="Q80" s="213">
        <f>'BẢNG CHẤM CÔNG T3'!H80</f>
        <v>8</v>
      </c>
      <c r="R80" s="213">
        <f>'BẢNG CHẤM CÔNG T3'!I80</f>
        <v>0</v>
      </c>
      <c r="S80" s="213">
        <f>'BẢNG CHẤM CÔNG T3'!J80</f>
        <v>0</v>
      </c>
      <c r="T80" s="213">
        <f>'BẢNG CHẤM CÔNG T3'!K80</f>
        <v>0</v>
      </c>
      <c r="U80" s="213">
        <f>'BẢNG CHẤM CÔNG T3'!L80</f>
        <v>0</v>
      </c>
      <c r="V80" s="213">
        <f>'BẢNG CHẤM CÔNG T3'!M80</f>
        <v>0</v>
      </c>
      <c r="W80" s="214">
        <f t="shared" si="35"/>
        <v>855769.23076923075</v>
      </c>
      <c r="X80" s="214">
        <f t="shared" si="36"/>
        <v>561598.55769230763</v>
      </c>
      <c r="Y80" s="214">
        <f t="shared" si="23"/>
        <v>0</v>
      </c>
      <c r="Z80" s="214">
        <f t="shared" si="31"/>
        <v>342307.69230769231</v>
      </c>
      <c r="AA80" s="214">
        <f t="shared" si="37"/>
        <v>96153.846153846156</v>
      </c>
      <c r="AB80" s="214">
        <f t="shared" si="24"/>
        <v>48076.923076923078</v>
      </c>
      <c r="AC80" s="214">
        <f t="shared" si="38"/>
        <v>0</v>
      </c>
      <c r="AD80" s="214">
        <f t="shared" si="39"/>
        <v>0</v>
      </c>
      <c r="AE80" s="214">
        <f t="shared" si="32"/>
        <v>0</v>
      </c>
      <c r="AF80" s="214">
        <f t="shared" si="42"/>
        <v>96153.846153846156</v>
      </c>
      <c r="AG80" s="214"/>
      <c r="AH80" s="215">
        <f t="shared" si="43"/>
        <v>2000060.0961538462</v>
      </c>
      <c r="AI80" s="214"/>
      <c r="AJ80" s="214"/>
      <c r="AK80" s="214"/>
      <c r="AL80" s="214">
        <v>11000000</v>
      </c>
      <c r="AM80" s="214">
        <f t="shared" si="40"/>
        <v>0</v>
      </c>
      <c r="AN80" s="132">
        <f t="shared" si="44"/>
        <v>11358353.365384616</v>
      </c>
      <c r="AO80" s="214">
        <f t="shared" si="41"/>
        <v>-9358293.2692307699</v>
      </c>
      <c r="AP80" s="204">
        <f t="shared" si="28"/>
        <v>0</v>
      </c>
      <c r="AQ80" s="214">
        <f t="shared" si="29"/>
        <v>0</v>
      </c>
      <c r="AR80" s="214"/>
      <c r="AS80" s="214"/>
      <c r="AT80" s="197">
        <f t="shared" si="33"/>
        <v>0</v>
      </c>
      <c r="AU80" s="216">
        <f t="shared" si="34"/>
        <v>2000060.0961538462</v>
      </c>
    </row>
    <row r="81" spans="1:48" ht="15.75" x14ac:dyDescent="0.25">
      <c r="A81" s="212">
        <v>71</v>
      </c>
      <c r="B81" s="72" t="s">
        <v>493</v>
      </c>
      <c r="C81" s="73" t="s">
        <v>494</v>
      </c>
      <c r="D81" s="72">
        <v>26</v>
      </c>
      <c r="E81" s="131">
        <f t="shared" si="30"/>
        <v>5700000</v>
      </c>
      <c r="F81" s="126">
        <v>4450000</v>
      </c>
      <c r="G81" s="218">
        <v>500000</v>
      </c>
      <c r="H81" s="218">
        <v>250000</v>
      </c>
      <c r="I81" s="218"/>
      <c r="J81" s="218"/>
      <c r="K81" s="218"/>
      <c r="L81" s="126">
        <v>500000</v>
      </c>
      <c r="M81" s="213">
        <f>'BẢNG CHẤM CÔNG T3'!D81</f>
        <v>3</v>
      </c>
      <c r="N81" s="213">
        <f>'BẢNG CHẤM CÔNG T3'!E81</f>
        <v>7</v>
      </c>
      <c r="O81" s="213">
        <f>'BẢNG CHẤM CÔNG T3'!F81</f>
        <v>0</v>
      </c>
      <c r="P81" s="213">
        <f>'BẢNG CHẤM CÔNG T3'!G81</f>
        <v>0</v>
      </c>
      <c r="Q81" s="213">
        <f>'BẢNG CHẤM CÔNG T3'!H81</f>
        <v>0</v>
      </c>
      <c r="R81" s="213">
        <f>'BẢNG CHẤM CÔNG T3'!I81</f>
        <v>0</v>
      </c>
      <c r="S81" s="213">
        <f>'BẢNG CHẤM CÔNG T3'!J81</f>
        <v>0</v>
      </c>
      <c r="T81" s="213">
        <f>'BẢNG CHẤM CÔNG T3'!K81</f>
        <v>0</v>
      </c>
      <c r="U81" s="213">
        <f>'BẢNG CHẤM CÔNG T3'!L81</f>
        <v>0</v>
      </c>
      <c r="V81" s="213">
        <f>'BẢNG CHẤM CÔNG T3'!M81</f>
        <v>0</v>
      </c>
      <c r="W81" s="214">
        <f t="shared" si="35"/>
        <v>513461.5384615385</v>
      </c>
      <c r="X81" s="214">
        <f t="shared" si="36"/>
        <v>224639.42307692306</v>
      </c>
      <c r="Y81" s="214">
        <f t="shared" si="23"/>
        <v>0</v>
      </c>
      <c r="Z81" s="214">
        <f t="shared" si="31"/>
        <v>0</v>
      </c>
      <c r="AA81" s="214">
        <f t="shared" si="37"/>
        <v>57692.307692307688</v>
      </c>
      <c r="AB81" s="214">
        <f t="shared" si="24"/>
        <v>28846.153846153844</v>
      </c>
      <c r="AC81" s="214">
        <f t="shared" si="38"/>
        <v>0</v>
      </c>
      <c r="AD81" s="214">
        <f t="shared" si="39"/>
        <v>0</v>
      </c>
      <c r="AE81" s="214">
        <f t="shared" si="32"/>
        <v>0</v>
      </c>
      <c r="AF81" s="214">
        <f t="shared" si="42"/>
        <v>57692.307692307688</v>
      </c>
      <c r="AG81" s="214"/>
      <c r="AH81" s="215">
        <f t="shared" si="43"/>
        <v>882331.73076923075</v>
      </c>
      <c r="AI81" s="214"/>
      <c r="AJ81" s="214"/>
      <c r="AK81" s="214"/>
      <c r="AL81" s="214">
        <v>11000000</v>
      </c>
      <c r="AM81" s="214">
        <f t="shared" si="40"/>
        <v>0</v>
      </c>
      <c r="AN81" s="132">
        <f t="shared" si="44"/>
        <v>11074879.807692308</v>
      </c>
      <c r="AO81" s="214">
        <f t="shared" si="41"/>
        <v>-10192548.076923078</v>
      </c>
      <c r="AP81" s="204">
        <f t="shared" si="28"/>
        <v>0</v>
      </c>
      <c r="AQ81" s="214">
        <f t="shared" si="29"/>
        <v>0</v>
      </c>
      <c r="AR81" s="214"/>
      <c r="AS81" s="214"/>
      <c r="AT81" s="197">
        <f t="shared" si="33"/>
        <v>0</v>
      </c>
      <c r="AU81" s="216">
        <f t="shared" si="34"/>
        <v>882331.73076923075</v>
      </c>
    </row>
    <row r="82" spans="1:48" ht="15.75" x14ac:dyDescent="0.25">
      <c r="A82" s="212">
        <v>72</v>
      </c>
      <c r="B82" s="72" t="s">
        <v>495</v>
      </c>
      <c r="C82" s="73" t="s">
        <v>497</v>
      </c>
      <c r="D82" s="72">
        <v>26</v>
      </c>
      <c r="E82" s="131">
        <f t="shared" si="30"/>
        <v>5700000</v>
      </c>
      <c r="F82" s="126">
        <v>4450000</v>
      </c>
      <c r="G82" s="218">
        <v>500000</v>
      </c>
      <c r="H82" s="218">
        <v>250000</v>
      </c>
      <c r="I82" s="218"/>
      <c r="J82" s="218"/>
      <c r="K82" s="218"/>
      <c r="L82" s="126">
        <v>500000</v>
      </c>
      <c r="M82" s="213">
        <f>'BẢNG CHẤM CÔNG T3'!D82</f>
        <v>3</v>
      </c>
      <c r="N82" s="213">
        <f>'BẢNG CHẤM CÔNG T3'!E82</f>
        <v>10</v>
      </c>
      <c r="O82" s="213">
        <f>'BẢNG CHẤM CÔNG T3'!F82</f>
        <v>0</v>
      </c>
      <c r="P82" s="213">
        <f>'BẢNG CHẤM CÔNG T3'!G82</f>
        <v>0</v>
      </c>
      <c r="Q82" s="213">
        <f>'BẢNG CHẤM CÔNG T3'!H82</f>
        <v>8</v>
      </c>
      <c r="R82" s="213">
        <f>'BẢNG CHẤM CÔNG T3'!I82</f>
        <v>0</v>
      </c>
      <c r="S82" s="213">
        <f>'BẢNG CHẤM CÔNG T3'!J82</f>
        <v>0</v>
      </c>
      <c r="T82" s="213">
        <f>'BẢNG CHẤM CÔNG T3'!K82</f>
        <v>0</v>
      </c>
      <c r="U82" s="213">
        <f>'BẢNG CHẤM CÔNG T3'!L82</f>
        <v>0</v>
      </c>
      <c r="V82" s="213">
        <f>'BẢNG CHẤM CÔNG T3'!M82</f>
        <v>0</v>
      </c>
      <c r="W82" s="214">
        <f t="shared" si="35"/>
        <v>513461.5384615385</v>
      </c>
      <c r="X82" s="214">
        <f t="shared" si="36"/>
        <v>320913.4615384615</v>
      </c>
      <c r="Y82" s="214">
        <f t="shared" si="23"/>
        <v>0</v>
      </c>
      <c r="Z82" s="214">
        <f t="shared" si="31"/>
        <v>342307.69230769231</v>
      </c>
      <c r="AA82" s="214">
        <f t="shared" si="37"/>
        <v>57692.307692307688</v>
      </c>
      <c r="AB82" s="214">
        <f t="shared" si="24"/>
        <v>28846.153846153844</v>
      </c>
      <c r="AC82" s="214">
        <f t="shared" si="38"/>
        <v>0</v>
      </c>
      <c r="AD82" s="214">
        <f t="shared" si="39"/>
        <v>0</v>
      </c>
      <c r="AE82" s="214">
        <f t="shared" si="32"/>
        <v>0</v>
      </c>
      <c r="AF82" s="214">
        <f t="shared" si="42"/>
        <v>57692.307692307688</v>
      </c>
      <c r="AG82" s="214"/>
      <c r="AH82" s="215">
        <f t="shared" si="43"/>
        <v>1320913.4615384615</v>
      </c>
      <c r="AI82" s="214"/>
      <c r="AJ82" s="214"/>
      <c r="AK82" s="214"/>
      <c r="AL82" s="214">
        <v>11000000</v>
      </c>
      <c r="AM82" s="214">
        <f t="shared" si="40"/>
        <v>0</v>
      </c>
      <c r="AN82" s="132">
        <f t="shared" si="44"/>
        <v>11278125</v>
      </c>
      <c r="AO82" s="214">
        <f t="shared" si="41"/>
        <v>-9957211.538461538</v>
      </c>
      <c r="AP82" s="204">
        <f t="shared" si="28"/>
        <v>0</v>
      </c>
      <c r="AQ82" s="214">
        <f t="shared" si="29"/>
        <v>0</v>
      </c>
      <c r="AR82" s="214"/>
      <c r="AS82" s="214"/>
      <c r="AT82" s="197">
        <f t="shared" si="33"/>
        <v>0</v>
      </c>
      <c r="AU82" s="216">
        <f t="shared" si="34"/>
        <v>1320913.4615384615</v>
      </c>
    </row>
    <row r="83" spans="1:48" ht="15.75" x14ac:dyDescent="0.25">
      <c r="A83" s="212">
        <v>73</v>
      </c>
      <c r="B83" s="72" t="s">
        <v>496</v>
      </c>
      <c r="C83" s="73" t="s">
        <v>498</v>
      </c>
      <c r="D83" s="72">
        <v>26</v>
      </c>
      <c r="E83" s="131">
        <f t="shared" si="30"/>
        <v>5700000</v>
      </c>
      <c r="F83" s="126">
        <v>4450000</v>
      </c>
      <c r="G83" s="218">
        <v>500000</v>
      </c>
      <c r="H83" s="218">
        <v>250000</v>
      </c>
      <c r="I83" s="218"/>
      <c r="J83" s="218"/>
      <c r="K83" s="218"/>
      <c r="L83" s="126">
        <v>500000</v>
      </c>
      <c r="M83" s="213">
        <f>'BẢNG CHẤM CÔNG T3'!D83</f>
        <v>3</v>
      </c>
      <c r="N83" s="213">
        <f>'BẢNG CHẤM CÔNG T3'!E83</f>
        <v>10</v>
      </c>
      <c r="O83" s="213">
        <f>'BẢNG CHẤM CÔNG T3'!F83</f>
        <v>0</v>
      </c>
      <c r="P83" s="213">
        <f>'BẢNG CHẤM CÔNG T3'!G83</f>
        <v>0</v>
      </c>
      <c r="Q83" s="213">
        <f>'BẢNG CHẤM CÔNG T3'!H83</f>
        <v>8</v>
      </c>
      <c r="R83" s="213">
        <f>'BẢNG CHẤM CÔNG T3'!I83</f>
        <v>0</v>
      </c>
      <c r="S83" s="213">
        <f>'BẢNG CHẤM CÔNG T3'!J83</f>
        <v>0</v>
      </c>
      <c r="T83" s="213">
        <f>'BẢNG CHẤM CÔNG T3'!K83</f>
        <v>0</v>
      </c>
      <c r="U83" s="213">
        <f>'BẢNG CHẤM CÔNG T3'!L83</f>
        <v>0</v>
      </c>
      <c r="V83" s="213">
        <f>'BẢNG CHẤM CÔNG T3'!M83</f>
        <v>0</v>
      </c>
      <c r="W83" s="214">
        <f t="shared" si="35"/>
        <v>513461.5384615385</v>
      </c>
      <c r="X83" s="214">
        <f t="shared" si="36"/>
        <v>320913.4615384615</v>
      </c>
      <c r="Y83" s="214">
        <f t="shared" si="23"/>
        <v>0</v>
      </c>
      <c r="Z83" s="214">
        <f t="shared" si="31"/>
        <v>342307.69230769231</v>
      </c>
      <c r="AA83" s="214">
        <f t="shared" si="37"/>
        <v>57692.307692307688</v>
      </c>
      <c r="AB83" s="214">
        <f t="shared" si="24"/>
        <v>28846.153846153844</v>
      </c>
      <c r="AC83" s="214">
        <f t="shared" si="38"/>
        <v>0</v>
      </c>
      <c r="AD83" s="214">
        <f t="shared" si="39"/>
        <v>0</v>
      </c>
      <c r="AE83" s="214">
        <f t="shared" si="32"/>
        <v>0</v>
      </c>
      <c r="AF83" s="214">
        <f t="shared" si="42"/>
        <v>57692.307692307688</v>
      </c>
      <c r="AG83" s="214"/>
      <c r="AH83" s="215">
        <f t="shared" si="43"/>
        <v>1320913.4615384615</v>
      </c>
      <c r="AI83" s="214"/>
      <c r="AJ83" s="214"/>
      <c r="AK83" s="214"/>
      <c r="AL83" s="214">
        <v>11000000</v>
      </c>
      <c r="AM83" s="214">
        <f t="shared" si="40"/>
        <v>0</v>
      </c>
      <c r="AN83" s="132">
        <f t="shared" si="44"/>
        <v>11278125</v>
      </c>
      <c r="AO83" s="214">
        <f t="shared" si="41"/>
        <v>-9957211.538461538</v>
      </c>
      <c r="AP83" s="204">
        <f t="shared" si="28"/>
        <v>0</v>
      </c>
      <c r="AQ83" s="214">
        <f t="shared" si="29"/>
        <v>0</v>
      </c>
      <c r="AR83" s="214"/>
      <c r="AS83" s="214"/>
      <c r="AT83" s="197">
        <f t="shared" si="33"/>
        <v>0</v>
      </c>
      <c r="AU83" s="216">
        <f t="shared" si="34"/>
        <v>1320913.4615384615</v>
      </c>
    </row>
    <row r="84" spans="1:48" ht="15.75" x14ac:dyDescent="0.25">
      <c r="A84" s="212">
        <v>74</v>
      </c>
      <c r="B84" s="72" t="s">
        <v>469</v>
      </c>
      <c r="C84" s="73" t="s">
        <v>470</v>
      </c>
      <c r="D84" s="72">
        <v>26</v>
      </c>
      <c r="E84" s="131">
        <f t="shared" si="30"/>
        <v>5200000</v>
      </c>
      <c r="F84" s="126">
        <v>4450000</v>
      </c>
      <c r="G84" s="218">
        <v>500000</v>
      </c>
      <c r="H84" s="218">
        <v>250000</v>
      </c>
      <c r="I84" s="218"/>
      <c r="J84" s="218"/>
      <c r="K84" s="218"/>
      <c r="L84" s="126"/>
      <c r="M84" s="213">
        <f>'BẢNG CHẤM CÔNG T3'!D84</f>
        <v>5</v>
      </c>
      <c r="N84" s="213">
        <f>'BẢNG CHẤM CÔNG T3'!E84</f>
        <v>17</v>
      </c>
      <c r="O84" s="213">
        <f>'BẢNG CHẤM CÔNG T3'!F84</f>
        <v>0</v>
      </c>
      <c r="P84" s="213">
        <f>'BẢNG CHẤM CÔNG T3'!G84</f>
        <v>0</v>
      </c>
      <c r="Q84" s="213">
        <f>'BẢNG CHẤM CÔNG T3'!H84</f>
        <v>0</v>
      </c>
      <c r="R84" s="213">
        <f>'BẢNG CHẤM CÔNG T3'!I84</f>
        <v>0</v>
      </c>
      <c r="S84" s="213">
        <f>'BẢNG CHẤM CÔNG T3'!J84</f>
        <v>0</v>
      </c>
      <c r="T84" s="213">
        <f>'BẢNG CHẤM CÔNG T3'!K84</f>
        <v>0</v>
      </c>
      <c r="U84" s="213">
        <f>'BẢNG CHẤM CÔNG T3'!L84</f>
        <v>0</v>
      </c>
      <c r="V84" s="213">
        <f>'BẢNG CHẤM CÔNG T3'!M84</f>
        <v>0</v>
      </c>
      <c r="W84" s="214">
        <f t="shared" si="35"/>
        <v>855769.23076923075</v>
      </c>
      <c r="X84" s="214">
        <f t="shared" si="36"/>
        <v>545552.88461538462</v>
      </c>
      <c r="Y84" s="214">
        <f t="shared" si="23"/>
        <v>0</v>
      </c>
      <c r="Z84" s="214">
        <f t="shared" si="31"/>
        <v>0</v>
      </c>
      <c r="AA84" s="214">
        <f t="shared" si="37"/>
        <v>96153.846153846156</v>
      </c>
      <c r="AB84" s="214">
        <f t="shared" si="24"/>
        <v>48076.923076923078</v>
      </c>
      <c r="AC84" s="214">
        <f t="shared" si="38"/>
        <v>0</v>
      </c>
      <c r="AD84" s="214">
        <f t="shared" si="39"/>
        <v>0</v>
      </c>
      <c r="AE84" s="214">
        <f t="shared" si="32"/>
        <v>0</v>
      </c>
      <c r="AF84" s="214">
        <f t="shared" si="42"/>
        <v>0</v>
      </c>
      <c r="AG84" s="214">
        <v>975360.57692307699</v>
      </c>
      <c r="AH84" s="215">
        <f t="shared" si="43"/>
        <v>2520913.461538462</v>
      </c>
      <c r="AI84" s="214"/>
      <c r="AJ84" s="214"/>
      <c r="AK84" s="214"/>
      <c r="AL84" s="214">
        <v>11000000</v>
      </c>
      <c r="AM84" s="214">
        <f t="shared" si="40"/>
        <v>0</v>
      </c>
      <c r="AN84" s="132">
        <f t="shared" si="44"/>
        <v>11181850.961538462</v>
      </c>
      <c r="AO84" s="214">
        <f t="shared" si="41"/>
        <v>-8660937.5</v>
      </c>
      <c r="AP84" s="204">
        <f t="shared" si="28"/>
        <v>0</v>
      </c>
      <c r="AQ84" s="214">
        <f t="shared" si="29"/>
        <v>0</v>
      </c>
      <c r="AR84" s="214"/>
      <c r="AS84" s="214"/>
      <c r="AT84" s="197">
        <f t="shared" si="33"/>
        <v>0</v>
      </c>
      <c r="AU84" s="216">
        <f t="shared" si="34"/>
        <v>2520913.461538462</v>
      </c>
    </row>
    <row r="85" spans="1:48" ht="15.75" x14ac:dyDescent="0.25">
      <c r="A85" s="212">
        <v>75</v>
      </c>
      <c r="B85" s="72" t="s">
        <v>476</v>
      </c>
      <c r="C85" s="73" t="s">
        <v>468</v>
      </c>
      <c r="D85" s="72">
        <v>26</v>
      </c>
      <c r="E85" s="131">
        <f t="shared" si="30"/>
        <v>5200000</v>
      </c>
      <c r="F85" s="126">
        <v>4450000</v>
      </c>
      <c r="G85" s="218">
        <v>500000</v>
      </c>
      <c r="H85" s="218">
        <v>250000</v>
      </c>
      <c r="I85" s="218"/>
      <c r="J85" s="218"/>
      <c r="K85" s="218"/>
      <c r="L85" s="126"/>
      <c r="M85" s="213">
        <f>'BẢNG CHẤM CÔNG T3'!D85</f>
        <v>5</v>
      </c>
      <c r="N85" s="213">
        <f>'BẢNG CHẤM CÔNG T3'!E85</f>
        <v>5</v>
      </c>
      <c r="O85" s="213">
        <f>'BẢNG CHẤM CÔNG T3'!F85</f>
        <v>0</v>
      </c>
      <c r="P85" s="213">
        <f>'BẢNG CHẤM CÔNG T3'!G85</f>
        <v>0</v>
      </c>
      <c r="Q85" s="213">
        <f>'BẢNG CHẤM CÔNG T3'!H85</f>
        <v>0</v>
      </c>
      <c r="R85" s="213">
        <f>'BẢNG CHẤM CÔNG T3'!I85</f>
        <v>0</v>
      </c>
      <c r="S85" s="213">
        <f>'BẢNG CHẤM CÔNG T3'!J85</f>
        <v>0</v>
      </c>
      <c r="T85" s="213">
        <f>'BẢNG CHẤM CÔNG T3'!K85</f>
        <v>0</v>
      </c>
      <c r="U85" s="213">
        <f>'BẢNG CHẤM CÔNG T3'!L85</f>
        <v>0</v>
      </c>
      <c r="V85" s="213">
        <f>'BẢNG CHẤM CÔNG T3'!M85</f>
        <v>0</v>
      </c>
      <c r="W85" s="214">
        <f t="shared" si="35"/>
        <v>855769.23076923075</v>
      </c>
      <c r="X85" s="214">
        <f t="shared" si="36"/>
        <v>160456.73076923075</v>
      </c>
      <c r="Y85" s="214">
        <f t="shared" si="23"/>
        <v>0</v>
      </c>
      <c r="Z85" s="214">
        <f t="shared" si="31"/>
        <v>0</v>
      </c>
      <c r="AA85" s="214">
        <f t="shared" si="37"/>
        <v>96153.846153846156</v>
      </c>
      <c r="AB85" s="214">
        <f t="shared" si="24"/>
        <v>48076.923076923078</v>
      </c>
      <c r="AC85" s="214">
        <f t="shared" si="38"/>
        <v>0</v>
      </c>
      <c r="AD85" s="214">
        <f t="shared" si="39"/>
        <v>0</v>
      </c>
      <c r="AE85" s="214">
        <f t="shared" si="32"/>
        <v>0</v>
      </c>
      <c r="AF85" s="214">
        <f t="shared" si="42"/>
        <v>0</v>
      </c>
      <c r="AG85" s="214"/>
      <c r="AH85" s="215">
        <f t="shared" si="43"/>
        <v>1160456.7307692308</v>
      </c>
      <c r="AI85" s="214"/>
      <c r="AJ85" s="214"/>
      <c r="AK85" s="214"/>
      <c r="AL85" s="214">
        <v>11000000</v>
      </c>
      <c r="AM85" s="214">
        <f t="shared" si="40"/>
        <v>0</v>
      </c>
      <c r="AN85" s="132">
        <f t="shared" si="44"/>
        <v>11053485.576923076</v>
      </c>
      <c r="AO85" s="214">
        <f t="shared" si="41"/>
        <v>-9893028.846153846</v>
      </c>
      <c r="AP85" s="204">
        <f t="shared" si="28"/>
        <v>0</v>
      </c>
      <c r="AQ85" s="214">
        <f t="shared" si="29"/>
        <v>0</v>
      </c>
      <c r="AR85" s="214"/>
      <c r="AS85" s="214"/>
      <c r="AT85" s="197">
        <f t="shared" si="33"/>
        <v>0</v>
      </c>
      <c r="AU85" s="216">
        <f t="shared" si="34"/>
        <v>1160456.7307692308</v>
      </c>
    </row>
    <row r="86" spans="1:48" ht="15.75" x14ac:dyDescent="0.25">
      <c r="A86" s="212">
        <v>76</v>
      </c>
      <c r="B86" s="72" t="s">
        <v>484</v>
      </c>
      <c r="C86" s="73" t="s">
        <v>103</v>
      </c>
      <c r="D86" s="72">
        <v>26</v>
      </c>
      <c r="E86" s="131">
        <f t="shared" ref="E86:E87" si="45">SUM(F86:L86)</f>
        <v>5200000</v>
      </c>
      <c r="F86" s="126">
        <v>4450000</v>
      </c>
      <c r="G86" s="218">
        <v>500000</v>
      </c>
      <c r="H86" s="218">
        <v>250000</v>
      </c>
      <c r="I86" s="218"/>
      <c r="J86" s="218"/>
      <c r="K86" s="218"/>
      <c r="L86" s="126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4">
        <f t="shared" si="35"/>
        <v>0</v>
      </c>
      <c r="X86" s="214">
        <f t="shared" si="36"/>
        <v>0</v>
      </c>
      <c r="Y86" s="214">
        <f t="shared" si="23"/>
        <v>0</v>
      </c>
      <c r="Z86" s="214">
        <f t="shared" si="31"/>
        <v>0</v>
      </c>
      <c r="AA86" s="214">
        <f t="shared" si="37"/>
        <v>0</v>
      </c>
      <c r="AB86" s="214">
        <f t="shared" si="24"/>
        <v>0</v>
      </c>
      <c r="AC86" s="214">
        <f t="shared" si="38"/>
        <v>0</v>
      </c>
      <c r="AD86" s="214">
        <f t="shared" si="39"/>
        <v>0</v>
      </c>
      <c r="AE86" s="214">
        <f t="shared" si="32"/>
        <v>0</v>
      </c>
      <c r="AF86" s="214">
        <f t="shared" si="42"/>
        <v>0</v>
      </c>
      <c r="AG86" s="214"/>
      <c r="AH86" s="215">
        <f t="shared" si="43"/>
        <v>0</v>
      </c>
      <c r="AI86" s="214"/>
      <c r="AJ86" s="214"/>
      <c r="AK86" s="214"/>
      <c r="AL86" s="214">
        <v>11000000</v>
      </c>
      <c r="AM86" s="214">
        <f t="shared" si="40"/>
        <v>0</v>
      </c>
      <c r="AN86" s="132">
        <f t="shared" si="44"/>
        <v>11000000</v>
      </c>
      <c r="AO86" s="214">
        <f t="shared" si="41"/>
        <v>-11000000</v>
      </c>
      <c r="AP86" s="204">
        <f t="shared" si="28"/>
        <v>0</v>
      </c>
      <c r="AQ86" s="214">
        <f t="shared" si="29"/>
        <v>0</v>
      </c>
      <c r="AR86" s="214"/>
      <c r="AS86" s="214"/>
      <c r="AT86" s="197">
        <f t="shared" si="33"/>
        <v>0</v>
      </c>
      <c r="AU86" s="216">
        <f t="shared" si="34"/>
        <v>0</v>
      </c>
    </row>
    <row r="87" spans="1:48" ht="15.75" x14ac:dyDescent="0.25">
      <c r="A87" s="212">
        <v>77</v>
      </c>
      <c r="B87" s="72" t="s">
        <v>485</v>
      </c>
      <c r="C87" s="73" t="s">
        <v>481</v>
      </c>
      <c r="D87" s="72">
        <v>26</v>
      </c>
      <c r="E87" s="131">
        <f t="shared" si="45"/>
        <v>5200000</v>
      </c>
      <c r="F87" s="126">
        <v>4450000</v>
      </c>
      <c r="G87" s="126">
        <v>500000</v>
      </c>
      <c r="H87" s="126">
        <v>250000</v>
      </c>
      <c r="I87" s="126"/>
      <c r="J87" s="126"/>
      <c r="K87" s="126"/>
      <c r="L87" s="126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4">
        <f t="shared" si="35"/>
        <v>0</v>
      </c>
      <c r="X87" s="214">
        <f t="shared" si="36"/>
        <v>0</v>
      </c>
      <c r="Y87" s="214">
        <f t="shared" si="23"/>
        <v>0</v>
      </c>
      <c r="Z87" s="214">
        <f t="shared" si="31"/>
        <v>0</v>
      </c>
      <c r="AA87" s="214">
        <f t="shared" si="37"/>
        <v>0</v>
      </c>
      <c r="AB87" s="214">
        <f t="shared" si="24"/>
        <v>0</v>
      </c>
      <c r="AC87" s="214">
        <f t="shared" si="38"/>
        <v>0</v>
      </c>
      <c r="AD87" s="214">
        <f t="shared" si="39"/>
        <v>0</v>
      </c>
      <c r="AE87" s="214">
        <f t="shared" si="32"/>
        <v>0</v>
      </c>
      <c r="AF87" s="214">
        <f t="shared" si="42"/>
        <v>0</v>
      </c>
      <c r="AG87" s="214"/>
      <c r="AH87" s="215">
        <f t="shared" si="43"/>
        <v>0</v>
      </c>
      <c r="AI87" s="214"/>
      <c r="AJ87" s="214"/>
      <c r="AK87" s="214"/>
      <c r="AL87" s="214">
        <v>11000000</v>
      </c>
      <c r="AM87" s="214">
        <f t="shared" si="40"/>
        <v>0</v>
      </c>
      <c r="AN87" s="132">
        <f t="shared" si="44"/>
        <v>11000000</v>
      </c>
      <c r="AO87" s="214">
        <f t="shared" si="41"/>
        <v>-11000000</v>
      </c>
      <c r="AP87" s="204">
        <f t="shared" si="28"/>
        <v>0</v>
      </c>
      <c r="AQ87" s="214">
        <f t="shared" si="29"/>
        <v>0</v>
      </c>
      <c r="AR87" s="214"/>
      <c r="AS87" s="214"/>
      <c r="AT87" s="197">
        <f t="shared" si="33"/>
        <v>0</v>
      </c>
      <c r="AU87" s="216">
        <f t="shared" si="34"/>
        <v>0</v>
      </c>
    </row>
    <row r="88" spans="1:48" ht="15.75" x14ac:dyDescent="0.25">
      <c r="A88" s="212">
        <v>78</v>
      </c>
      <c r="B88" s="72" t="s">
        <v>486</v>
      </c>
      <c r="C88" s="73" t="s">
        <v>483</v>
      </c>
      <c r="D88" s="72">
        <v>26</v>
      </c>
      <c r="E88" s="131">
        <f t="shared" si="30"/>
        <v>5200000</v>
      </c>
      <c r="F88" s="126">
        <v>4450000</v>
      </c>
      <c r="G88" s="126">
        <v>500000</v>
      </c>
      <c r="H88" s="126">
        <v>250000</v>
      </c>
      <c r="I88" s="126"/>
      <c r="J88" s="126"/>
      <c r="K88" s="126"/>
      <c r="L88" s="126"/>
      <c r="M88" s="213">
        <f>'BẢNG CHẤM CÔNG T3'!D88</f>
        <v>5</v>
      </c>
      <c r="N88" s="213">
        <f>'BẢNG CHẤM CÔNG T3'!E88</f>
        <v>6</v>
      </c>
      <c r="O88" s="213">
        <f>'BẢNG CHẤM CÔNG T3'!F88</f>
        <v>0</v>
      </c>
      <c r="P88" s="213">
        <f>'BẢNG CHẤM CÔNG T3'!G88</f>
        <v>0</v>
      </c>
      <c r="Q88" s="213">
        <f>'BẢNG CHẤM CÔNG T3'!H88</f>
        <v>0</v>
      </c>
      <c r="R88" s="213">
        <f>'BẢNG CHẤM CÔNG T3'!I88</f>
        <v>0</v>
      </c>
      <c r="S88" s="213">
        <f>'BẢNG CHẤM CÔNG T3'!J88</f>
        <v>0</v>
      </c>
      <c r="T88" s="213">
        <f>'BẢNG CHẤM CÔNG T3'!K88</f>
        <v>0</v>
      </c>
      <c r="U88" s="213">
        <f>'BẢNG CHẤM CÔNG T3'!L88</f>
        <v>0</v>
      </c>
      <c r="V88" s="213">
        <f>'BẢNG CHẤM CÔNG T3'!M88</f>
        <v>0</v>
      </c>
      <c r="W88" s="214">
        <f t="shared" si="35"/>
        <v>855769.23076923075</v>
      </c>
      <c r="X88" s="214">
        <f t="shared" si="36"/>
        <v>192548.07692307694</v>
      </c>
      <c r="Y88" s="214">
        <f t="shared" si="23"/>
        <v>0</v>
      </c>
      <c r="Z88" s="214">
        <f>F88/D88/8*Q88*2</f>
        <v>0</v>
      </c>
      <c r="AA88" s="214">
        <f t="shared" si="37"/>
        <v>96153.846153846156</v>
      </c>
      <c r="AB88" s="214">
        <f t="shared" si="24"/>
        <v>48076.923076923078</v>
      </c>
      <c r="AC88" s="214">
        <f t="shared" si="38"/>
        <v>0</v>
      </c>
      <c r="AD88" s="214">
        <f t="shared" si="39"/>
        <v>0</v>
      </c>
      <c r="AE88" s="214">
        <f t="shared" si="32"/>
        <v>0</v>
      </c>
      <c r="AF88" s="214">
        <f t="shared" si="42"/>
        <v>0</v>
      </c>
      <c r="AG88" s="214"/>
      <c r="AH88" s="215">
        <f t="shared" si="43"/>
        <v>1192548.076923077</v>
      </c>
      <c r="AI88" s="214"/>
      <c r="AJ88" s="214"/>
      <c r="AK88" s="214"/>
      <c r="AL88" s="214">
        <v>11000000</v>
      </c>
      <c r="AM88" s="214">
        <f t="shared" si="40"/>
        <v>0</v>
      </c>
      <c r="AN88" s="132">
        <f t="shared" si="44"/>
        <v>11064182.692307692</v>
      </c>
      <c r="AO88" s="214">
        <f t="shared" si="41"/>
        <v>-9871634.615384616</v>
      </c>
      <c r="AP88" s="204">
        <f t="shared" si="28"/>
        <v>0</v>
      </c>
      <c r="AQ88" s="214">
        <f t="shared" si="29"/>
        <v>0</v>
      </c>
      <c r="AR88" s="214"/>
      <c r="AS88" s="214"/>
      <c r="AT88" s="197">
        <f t="shared" si="33"/>
        <v>0</v>
      </c>
      <c r="AU88" s="216">
        <f t="shared" si="34"/>
        <v>1192548.076923077</v>
      </c>
    </row>
    <row r="89" spans="1:48" ht="15" customHeight="1" x14ac:dyDescent="0.25">
      <c r="A89" s="494" t="s">
        <v>520</v>
      </c>
      <c r="B89" s="494"/>
      <c r="C89" s="494"/>
      <c r="D89" s="205"/>
      <c r="E89" s="205">
        <f>SUBTOTAL(9,E90:E92)</f>
        <v>21000000</v>
      </c>
      <c r="F89" s="205">
        <f t="shared" ref="F89:AU89" si="46">SUBTOTAL(9,F90:F92)</f>
        <v>13350000</v>
      </c>
      <c r="G89" s="205">
        <f t="shared" si="46"/>
        <v>1500000</v>
      </c>
      <c r="H89" s="205">
        <f t="shared" si="46"/>
        <v>750000</v>
      </c>
      <c r="I89" s="205">
        <f t="shared" si="46"/>
        <v>900000</v>
      </c>
      <c r="J89" s="205">
        <f t="shared" si="46"/>
        <v>0</v>
      </c>
      <c r="K89" s="205">
        <f t="shared" si="46"/>
        <v>1500000</v>
      </c>
      <c r="L89" s="205">
        <f t="shared" si="46"/>
        <v>3000000</v>
      </c>
      <c r="M89" s="205">
        <f t="shared" si="46"/>
        <v>78</v>
      </c>
      <c r="N89" s="205">
        <f t="shared" si="46"/>
        <v>38</v>
      </c>
      <c r="O89" s="205">
        <f t="shared" si="46"/>
        <v>0</v>
      </c>
      <c r="P89" s="205">
        <f t="shared" si="46"/>
        <v>0</v>
      </c>
      <c r="Q89" s="205">
        <f t="shared" si="46"/>
        <v>55</v>
      </c>
      <c r="R89" s="205">
        <f t="shared" si="46"/>
        <v>0</v>
      </c>
      <c r="S89" s="205">
        <f t="shared" si="46"/>
        <v>0</v>
      </c>
      <c r="T89" s="205">
        <f t="shared" si="46"/>
        <v>0</v>
      </c>
      <c r="U89" s="205">
        <f t="shared" si="46"/>
        <v>0</v>
      </c>
      <c r="V89" s="205">
        <f t="shared" si="46"/>
        <v>0</v>
      </c>
      <c r="W89" s="205">
        <f t="shared" si="46"/>
        <v>13350000</v>
      </c>
      <c r="X89" s="205">
        <f t="shared" si="46"/>
        <v>1219471.153846154</v>
      </c>
      <c r="Y89" s="205">
        <f t="shared" si="46"/>
        <v>0</v>
      </c>
      <c r="Z89" s="205">
        <f t="shared" si="46"/>
        <v>2353365.384615385</v>
      </c>
      <c r="AA89" s="205">
        <f t="shared" si="46"/>
        <v>1500000</v>
      </c>
      <c r="AB89" s="205">
        <f t="shared" si="46"/>
        <v>750000</v>
      </c>
      <c r="AC89" s="205">
        <f t="shared" si="46"/>
        <v>900000</v>
      </c>
      <c r="AD89" s="205">
        <f t="shared" si="46"/>
        <v>0</v>
      </c>
      <c r="AE89" s="205">
        <f t="shared" si="46"/>
        <v>1500000</v>
      </c>
      <c r="AF89" s="205">
        <f t="shared" si="46"/>
        <v>3000000</v>
      </c>
      <c r="AG89" s="205">
        <f t="shared" si="46"/>
        <v>0</v>
      </c>
      <c r="AH89" s="205">
        <f t="shared" si="46"/>
        <v>24572836.53846154</v>
      </c>
      <c r="AI89" s="205">
        <f t="shared" si="46"/>
        <v>0</v>
      </c>
      <c r="AJ89" s="205">
        <f t="shared" si="46"/>
        <v>0</v>
      </c>
      <c r="AK89" s="205">
        <f t="shared" si="46"/>
        <v>0</v>
      </c>
      <c r="AL89" s="205">
        <f t="shared" si="46"/>
        <v>33000000</v>
      </c>
      <c r="AM89" s="205">
        <f t="shared" si="46"/>
        <v>0</v>
      </c>
      <c r="AN89" s="205">
        <f t="shared" si="46"/>
        <v>34583173.076923072</v>
      </c>
      <c r="AO89" s="205">
        <f t="shared" si="46"/>
        <v>-10010336.538461536</v>
      </c>
      <c r="AP89" s="205">
        <f t="shared" si="46"/>
        <v>0</v>
      </c>
      <c r="AQ89" s="205">
        <f t="shared" si="46"/>
        <v>0</v>
      </c>
      <c r="AR89" s="205">
        <f t="shared" si="46"/>
        <v>0</v>
      </c>
      <c r="AS89" s="205">
        <f t="shared" si="46"/>
        <v>0</v>
      </c>
      <c r="AT89" s="205">
        <f t="shared" si="46"/>
        <v>0</v>
      </c>
      <c r="AU89" s="205">
        <f t="shared" si="46"/>
        <v>24572836.53846154</v>
      </c>
    </row>
    <row r="90" spans="1:48" ht="15.75" x14ac:dyDescent="0.25">
      <c r="A90" s="212">
        <v>80</v>
      </c>
      <c r="B90" s="72" t="s">
        <v>466</v>
      </c>
      <c r="C90" s="73" t="s">
        <v>467</v>
      </c>
      <c r="D90" s="72">
        <v>26</v>
      </c>
      <c r="E90" s="131">
        <f>SUM(F90:L90)</f>
        <v>7000000</v>
      </c>
      <c r="F90" s="126">
        <v>4450000</v>
      </c>
      <c r="G90" s="126">
        <v>500000</v>
      </c>
      <c r="H90" s="126">
        <v>250000</v>
      </c>
      <c r="I90" s="126">
        <v>300000</v>
      </c>
      <c r="J90" s="126"/>
      <c r="K90" s="126">
        <v>500000</v>
      </c>
      <c r="L90" s="126">
        <v>1000000</v>
      </c>
      <c r="M90" s="213">
        <f>'BẢNG CHẤM CÔNG T3'!D91</f>
        <v>26</v>
      </c>
      <c r="N90" s="213">
        <f>'BẢNG CHẤM CÔNG T3'!E91</f>
        <v>4.5</v>
      </c>
      <c r="O90" s="213">
        <f>'BẢNG CHẤM CÔNG T3'!F91</f>
        <v>0</v>
      </c>
      <c r="P90" s="213">
        <f>'BẢNG CHẤM CÔNG T3'!G91</f>
        <v>0</v>
      </c>
      <c r="Q90" s="213">
        <f>'BẢNG CHẤM CÔNG T3'!H91</f>
        <v>22</v>
      </c>
      <c r="R90" s="213">
        <f>'BẢNG CHẤM CÔNG T3'!I91</f>
        <v>0</v>
      </c>
      <c r="S90" s="213">
        <f>'BẢNG CHẤM CÔNG T3'!J91</f>
        <v>0</v>
      </c>
      <c r="T90" s="213">
        <f>'BẢNG CHẤM CÔNG T3'!K91</f>
        <v>0</v>
      </c>
      <c r="U90" s="213">
        <f>'BẢNG CHẤM CÔNG T3'!L91</f>
        <v>0</v>
      </c>
      <c r="V90" s="213">
        <f>'BẢNG CHẤM CÔNG T3'!M91</f>
        <v>0</v>
      </c>
      <c r="W90" s="214">
        <f t="shared" si="35"/>
        <v>4450000</v>
      </c>
      <c r="X90" s="214">
        <f>F90/D90/8*N90*1.5</f>
        <v>144411.05769230769</v>
      </c>
      <c r="Y90" s="214">
        <f t="shared" si="23"/>
        <v>0</v>
      </c>
      <c r="Z90" s="214">
        <f t="shared" si="31"/>
        <v>941346.15384615387</v>
      </c>
      <c r="AA90" s="214">
        <f t="shared" si="37"/>
        <v>500000</v>
      </c>
      <c r="AB90" s="214">
        <f t="shared" si="24"/>
        <v>250000</v>
      </c>
      <c r="AC90" s="214">
        <f t="shared" si="38"/>
        <v>300000</v>
      </c>
      <c r="AD90" s="214">
        <f>J90/D90*M90</f>
        <v>0</v>
      </c>
      <c r="AE90" s="214">
        <f>K90/D90*M90</f>
        <v>500000</v>
      </c>
      <c r="AF90" s="214">
        <f t="shared" si="42"/>
        <v>1000000</v>
      </c>
      <c r="AG90" s="214"/>
      <c r="AH90" s="215">
        <f t="shared" si="43"/>
        <v>8085757.211538462</v>
      </c>
      <c r="AI90" s="214"/>
      <c r="AJ90" s="214"/>
      <c r="AK90" s="214"/>
      <c r="AL90" s="214">
        <v>11000000</v>
      </c>
      <c r="AM90" s="214">
        <f t="shared" si="40"/>
        <v>0</v>
      </c>
      <c r="AN90" s="132">
        <f t="shared" si="44"/>
        <v>11518810.096153846</v>
      </c>
      <c r="AO90" s="214">
        <f t="shared" si="41"/>
        <v>-3433052.884615384</v>
      </c>
      <c r="AP90" s="204">
        <f t="shared" ref="AP90:AP92" si="47">IF($A90="",0,IF(AO90&lt;=0,0,IF(AO90&lt;=5000000,AO90*$AW$3,IF(AO90&lt;=10000000,$AW$2*$AW$3+(AO90-$AW$2)*$AX$3,IF(AO90&lt;18000000,$AW$2*$AW$3+$AW$2*$AX$3+(AO90-$AX$2)*$AY$3,IF(AO90&lt;=32000000,$AW$2*$AW$3+$AW$2*$AX$3+$AY$2*$AY$3+(AO90-$AZ$2)*$BA$3))))))</f>
        <v>0</v>
      </c>
      <c r="AQ90" s="214">
        <f>F90/D90/8*P90</f>
        <v>0</v>
      </c>
      <c r="AR90" s="214"/>
      <c r="AS90" s="214"/>
      <c r="AT90" s="197">
        <f t="shared" ref="AT90:AT92" si="48">AP90+AI90+AJ90+SUM(AQ90:AS90)</f>
        <v>0</v>
      </c>
      <c r="AU90" s="216">
        <f t="shared" ref="AU90:AU92" si="49">AH90-AT90</f>
        <v>8085757.211538462</v>
      </c>
      <c r="AV90" s="217">
        <v>3000000</v>
      </c>
    </row>
    <row r="91" spans="1:48" ht="15.75" x14ac:dyDescent="0.25">
      <c r="A91" s="212">
        <v>81</v>
      </c>
      <c r="B91" s="72" t="s">
        <v>170</v>
      </c>
      <c r="C91" s="73" t="s">
        <v>171</v>
      </c>
      <c r="D91" s="72">
        <v>26</v>
      </c>
      <c r="E91" s="131">
        <f t="shared" ref="E91:E92" si="50">SUM(F91:L91)</f>
        <v>7000000</v>
      </c>
      <c r="F91" s="126">
        <v>4450000</v>
      </c>
      <c r="G91" s="126">
        <v>500000</v>
      </c>
      <c r="H91" s="126">
        <v>250000</v>
      </c>
      <c r="I91" s="126">
        <v>300000</v>
      </c>
      <c r="J91" s="126"/>
      <c r="K91" s="126">
        <v>500000</v>
      </c>
      <c r="L91" s="126">
        <v>1000000</v>
      </c>
      <c r="M91" s="213">
        <f>'BẢNG CHẤM CÔNG T3'!D92</f>
        <v>26</v>
      </c>
      <c r="N91" s="213">
        <f>'BẢNG CHẤM CÔNG T3'!E92</f>
        <v>18</v>
      </c>
      <c r="O91" s="213">
        <f>'BẢNG CHẤM CÔNG T3'!F92</f>
        <v>0</v>
      </c>
      <c r="P91" s="213">
        <f>'BẢNG CHẤM CÔNG T3'!G92</f>
        <v>0</v>
      </c>
      <c r="Q91" s="213">
        <f>'BẢNG CHẤM CÔNG T3'!H92</f>
        <v>25</v>
      </c>
      <c r="R91" s="213">
        <f>'BẢNG CHẤM CÔNG T3'!I92</f>
        <v>0</v>
      </c>
      <c r="S91" s="213">
        <f>'BẢNG CHẤM CÔNG T3'!J92</f>
        <v>0</v>
      </c>
      <c r="T91" s="213">
        <f>'BẢNG CHẤM CÔNG T3'!K92</f>
        <v>0</v>
      </c>
      <c r="U91" s="213">
        <f>'BẢNG CHẤM CÔNG T3'!L92</f>
        <v>0</v>
      </c>
      <c r="V91" s="213">
        <f>'BẢNG CHẤM CÔNG T3'!M92</f>
        <v>0</v>
      </c>
      <c r="W91" s="214">
        <f t="shared" si="35"/>
        <v>4450000</v>
      </c>
      <c r="X91" s="214">
        <f t="shared" ref="X91:X92" si="51">F91/D91/8*N91*1.5</f>
        <v>577644.23076923075</v>
      </c>
      <c r="Y91" s="214">
        <f t="shared" si="23"/>
        <v>0</v>
      </c>
      <c r="Z91" s="214">
        <f t="shared" si="31"/>
        <v>1069711.5384615385</v>
      </c>
      <c r="AA91" s="214">
        <f t="shared" si="37"/>
        <v>500000</v>
      </c>
      <c r="AB91" s="214">
        <f t="shared" si="24"/>
        <v>250000</v>
      </c>
      <c r="AC91" s="214">
        <f t="shared" si="38"/>
        <v>300000</v>
      </c>
      <c r="AD91" s="214">
        <f t="shared" si="39"/>
        <v>0</v>
      </c>
      <c r="AE91" s="214">
        <f t="shared" ref="AE91:AE92" si="52">K91/D91*M91</f>
        <v>500000</v>
      </c>
      <c r="AF91" s="214">
        <f t="shared" si="42"/>
        <v>1000000</v>
      </c>
      <c r="AG91" s="214"/>
      <c r="AH91" s="215">
        <f t="shared" si="43"/>
        <v>8647355.7692307699</v>
      </c>
      <c r="AI91" s="214"/>
      <c r="AJ91" s="214"/>
      <c r="AK91" s="214"/>
      <c r="AL91" s="214">
        <v>11000000</v>
      </c>
      <c r="AM91" s="214">
        <f t="shared" si="40"/>
        <v>0</v>
      </c>
      <c r="AN91" s="132">
        <f t="shared" si="44"/>
        <v>11727403.846153846</v>
      </c>
      <c r="AO91" s="214">
        <f t="shared" si="41"/>
        <v>-3080048.0769230761</v>
      </c>
      <c r="AP91" s="204">
        <f t="shared" si="47"/>
        <v>0</v>
      </c>
      <c r="AQ91" s="214">
        <f>F91/D91/8*P91</f>
        <v>0</v>
      </c>
      <c r="AR91" s="214"/>
      <c r="AS91" s="214"/>
      <c r="AT91" s="197">
        <f t="shared" si="48"/>
        <v>0</v>
      </c>
      <c r="AU91" s="216">
        <f t="shared" si="49"/>
        <v>8647355.7692307699</v>
      </c>
    </row>
    <row r="92" spans="1:48" ht="15.75" x14ac:dyDescent="0.25">
      <c r="A92" s="212">
        <v>82</v>
      </c>
      <c r="B92" s="72" t="s">
        <v>168</v>
      </c>
      <c r="C92" s="73" t="s">
        <v>169</v>
      </c>
      <c r="D92" s="72">
        <v>26</v>
      </c>
      <c r="E92" s="131">
        <f t="shared" si="50"/>
        <v>7000000</v>
      </c>
      <c r="F92" s="126">
        <v>4450000</v>
      </c>
      <c r="G92" s="126">
        <v>500000</v>
      </c>
      <c r="H92" s="126">
        <v>250000</v>
      </c>
      <c r="I92" s="126">
        <v>300000</v>
      </c>
      <c r="J92" s="126"/>
      <c r="K92" s="126">
        <v>500000</v>
      </c>
      <c r="L92" s="126">
        <v>1000000</v>
      </c>
      <c r="M92" s="213">
        <f>'BẢNG CHẤM CÔNG T3'!D93</f>
        <v>26</v>
      </c>
      <c r="N92" s="213">
        <f>'BẢNG CHẤM CÔNG T3'!E93</f>
        <v>15.5</v>
      </c>
      <c r="O92" s="213">
        <f>'BẢNG CHẤM CÔNG T3'!F93</f>
        <v>0</v>
      </c>
      <c r="P92" s="213">
        <f>'BẢNG CHẤM CÔNG T3'!G93</f>
        <v>0</v>
      </c>
      <c r="Q92" s="213">
        <f>'BẢNG CHẤM CÔNG T3'!H93</f>
        <v>8</v>
      </c>
      <c r="R92" s="213">
        <f>'BẢNG CHẤM CÔNG T3'!I93</f>
        <v>0</v>
      </c>
      <c r="S92" s="213">
        <f>'BẢNG CHẤM CÔNG T3'!J93</f>
        <v>0</v>
      </c>
      <c r="T92" s="213">
        <f>'BẢNG CHẤM CÔNG T3'!K93</f>
        <v>0</v>
      </c>
      <c r="U92" s="213">
        <f>'BẢNG CHẤM CÔNG T3'!L93</f>
        <v>0</v>
      </c>
      <c r="V92" s="213">
        <f>'BẢNG CHẤM CÔNG T3'!M93</f>
        <v>0</v>
      </c>
      <c r="W92" s="214">
        <f t="shared" si="35"/>
        <v>4450000</v>
      </c>
      <c r="X92" s="214">
        <f t="shared" si="51"/>
        <v>497415.86538461538</v>
      </c>
      <c r="Y92" s="214">
        <f t="shared" si="23"/>
        <v>0</v>
      </c>
      <c r="Z92" s="214">
        <f t="shared" si="31"/>
        <v>342307.69230769231</v>
      </c>
      <c r="AA92" s="214">
        <f t="shared" si="37"/>
        <v>500000</v>
      </c>
      <c r="AB92" s="214">
        <f t="shared" si="24"/>
        <v>250000</v>
      </c>
      <c r="AC92" s="214">
        <f t="shared" si="38"/>
        <v>300000</v>
      </c>
      <c r="AD92" s="214">
        <f t="shared" si="39"/>
        <v>0</v>
      </c>
      <c r="AE92" s="214">
        <f t="shared" si="52"/>
        <v>500000</v>
      </c>
      <c r="AF92" s="214">
        <f t="shared" si="42"/>
        <v>1000000</v>
      </c>
      <c r="AG92" s="214"/>
      <c r="AH92" s="215">
        <f t="shared" si="43"/>
        <v>7839723.557692307</v>
      </c>
      <c r="AI92" s="214"/>
      <c r="AJ92" s="214"/>
      <c r="AK92" s="214"/>
      <c r="AL92" s="214">
        <v>11000000</v>
      </c>
      <c r="AM92" s="214">
        <f t="shared" si="40"/>
        <v>0</v>
      </c>
      <c r="AN92" s="132">
        <f t="shared" si="44"/>
        <v>11336959.134615384</v>
      </c>
      <c r="AO92" s="214">
        <f t="shared" si="41"/>
        <v>-3497235.576923077</v>
      </c>
      <c r="AP92" s="204">
        <f t="shared" si="47"/>
        <v>0</v>
      </c>
      <c r="AQ92" s="214">
        <f>F92/D92/8*P92</f>
        <v>0</v>
      </c>
      <c r="AR92" s="214"/>
      <c r="AS92" s="214"/>
      <c r="AT92" s="197">
        <f t="shared" si="48"/>
        <v>0</v>
      </c>
      <c r="AU92" s="216">
        <f t="shared" si="49"/>
        <v>7839723.557692307</v>
      </c>
    </row>
    <row r="93" spans="1:48" ht="15.6" customHeight="1" x14ac:dyDescent="0.25">
      <c r="A93" s="494" t="s">
        <v>580</v>
      </c>
      <c r="B93" s="494"/>
      <c r="C93" s="494"/>
      <c r="D93" s="205"/>
      <c r="E93" s="205">
        <f>SUBTOTAL(9,E94:E96)</f>
        <v>17000000</v>
      </c>
      <c r="F93" s="205">
        <f t="shared" ref="F93:AU93" si="53">SUBTOTAL(9,F94:F96)</f>
        <v>12450000</v>
      </c>
      <c r="G93" s="205">
        <f t="shared" si="53"/>
        <v>1500000</v>
      </c>
      <c r="H93" s="205">
        <f t="shared" si="53"/>
        <v>750000</v>
      </c>
      <c r="I93" s="205">
        <f t="shared" si="53"/>
        <v>0</v>
      </c>
      <c r="J93" s="205">
        <f t="shared" si="53"/>
        <v>0</v>
      </c>
      <c r="K93" s="205">
        <f t="shared" si="53"/>
        <v>900000</v>
      </c>
      <c r="L93" s="205">
        <f t="shared" si="53"/>
        <v>1400000</v>
      </c>
      <c r="M93" s="205">
        <f t="shared" si="53"/>
        <v>67.5</v>
      </c>
      <c r="N93" s="205">
        <f t="shared" si="53"/>
        <v>18</v>
      </c>
      <c r="O93" s="205">
        <f t="shared" si="53"/>
        <v>0</v>
      </c>
      <c r="P93" s="205">
        <f t="shared" si="53"/>
        <v>0</v>
      </c>
      <c r="Q93" s="205">
        <f t="shared" si="53"/>
        <v>33</v>
      </c>
      <c r="R93" s="205">
        <f t="shared" si="53"/>
        <v>0</v>
      </c>
      <c r="S93" s="205">
        <f t="shared" si="53"/>
        <v>1</v>
      </c>
      <c r="T93" s="205">
        <f t="shared" si="53"/>
        <v>0</v>
      </c>
      <c r="U93" s="205">
        <f t="shared" si="53"/>
        <v>0</v>
      </c>
      <c r="V93" s="205">
        <f t="shared" si="53"/>
        <v>0</v>
      </c>
      <c r="W93" s="205">
        <f t="shared" si="53"/>
        <v>10774038.461538462</v>
      </c>
      <c r="X93" s="205">
        <f t="shared" si="53"/>
        <v>538701.92307692312</v>
      </c>
      <c r="Y93" s="205">
        <f t="shared" si="53"/>
        <v>0</v>
      </c>
      <c r="Z93" s="205">
        <f t="shared" si="53"/>
        <v>1316826.923076923</v>
      </c>
      <c r="AA93" s="205">
        <f t="shared" si="53"/>
        <v>1298076.923076923</v>
      </c>
      <c r="AB93" s="205">
        <f t="shared" si="53"/>
        <v>649038.4615384615</v>
      </c>
      <c r="AC93" s="205">
        <f t="shared" si="53"/>
        <v>0</v>
      </c>
      <c r="AD93" s="205">
        <f t="shared" si="53"/>
        <v>0</v>
      </c>
      <c r="AE93" s="205">
        <f t="shared" si="53"/>
        <v>778846.15384615387</v>
      </c>
      <c r="AF93" s="205">
        <f t="shared" si="53"/>
        <v>1278846.153846154</v>
      </c>
      <c r="AG93" s="205">
        <f t="shared" si="53"/>
        <v>0</v>
      </c>
      <c r="AH93" s="205">
        <f t="shared" si="53"/>
        <v>16634375</v>
      </c>
      <c r="AI93" s="205">
        <f t="shared" si="53"/>
        <v>0</v>
      </c>
      <c r="AJ93" s="205">
        <f t="shared" si="53"/>
        <v>0</v>
      </c>
      <c r="AK93" s="205">
        <f t="shared" si="53"/>
        <v>0</v>
      </c>
      <c r="AL93" s="205">
        <f t="shared" si="53"/>
        <v>33000000</v>
      </c>
      <c r="AM93" s="205">
        <f t="shared" si="53"/>
        <v>0</v>
      </c>
      <c r="AN93" s="205">
        <f t="shared" si="53"/>
        <v>33837980.769230768</v>
      </c>
      <c r="AO93" s="205">
        <f t="shared" si="53"/>
        <v>-17203605.769230768</v>
      </c>
      <c r="AP93" s="205">
        <f t="shared" si="53"/>
        <v>0</v>
      </c>
      <c r="AQ93" s="205">
        <f t="shared" si="53"/>
        <v>0</v>
      </c>
      <c r="AR93" s="205">
        <f t="shared" si="53"/>
        <v>0</v>
      </c>
      <c r="AS93" s="205">
        <f t="shared" si="53"/>
        <v>0</v>
      </c>
      <c r="AT93" s="205">
        <f t="shared" si="53"/>
        <v>0</v>
      </c>
      <c r="AU93" s="205">
        <f t="shared" si="53"/>
        <v>16634375</v>
      </c>
    </row>
    <row r="94" spans="1:48" customFormat="1" ht="15.75" x14ac:dyDescent="0.25">
      <c r="A94" s="212">
        <v>83</v>
      </c>
      <c r="B94" s="72" t="s">
        <v>30</v>
      </c>
      <c r="C94" s="73" t="s">
        <v>31</v>
      </c>
      <c r="D94" s="72">
        <v>26</v>
      </c>
      <c r="E94" s="131">
        <f t="shared" ref="E94:E96" si="54">SUM(F94:L94)</f>
        <v>6000000</v>
      </c>
      <c r="F94" s="126">
        <v>4150000</v>
      </c>
      <c r="G94" s="126">
        <v>500000</v>
      </c>
      <c r="H94" s="126">
        <v>250000</v>
      </c>
      <c r="I94" s="126"/>
      <c r="J94" s="126"/>
      <c r="K94" s="126">
        <v>300000</v>
      </c>
      <c r="L94" s="126">
        <v>800000</v>
      </c>
      <c r="M94" s="213">
        <f>'BẢNG CHẤM CÔNG T3'!D95</f>
        <v>26</v>
      </c>
      <c r="N94" s="213">
        <f>'BẢNG CHẤM CÔNG T3'!E95</f>
        <v>3</v>
      </c>
      <c r="O94" s="213">
        <f>'BẢNG CHẤM CÔNG T3'!F95</f>
        <v>0</v>
      </c>
      <c r="P94" s="213">
        <f>'BẢNG CHẤM CÔNG T3'!G95</f>
        <v>0</v>
      </c>
      <c r="Q94" s="213">
        <f>'BẢNG CHẤM CÔNG T3'!H95</f>
        <v>25</v>
      </c>
      <c r="R94" s="213">
        <f>'BẢNG CHẤM CÔNG T3'!I95</f>
        <v>0</v>
      </c>
      <c r="S94" s="213">
        <f>'BẢNG CHẤM CÔNG T3'!J95</f>
        <v>0</v>
      </c>
      <c r="T94" s="213">
        <f>'BẢNG CHẤM CÔNG T3'!K95</f>
        <v>0</v>
      </c>
      <c r="U94" s="213">
        <f>'BẢNG CHẤM CÔNG T3'!L95</f>
        <v>0</v>
      </c>
      <c r="V94" s="213">
        <f>'BẢNG CHẤM CÔNG T3'!M95</f>
        <v>0</v>
      </c>
      <c r="W94" s="214">
        <f t="shared" si="35"/>
        <v>4150000</v>
      </c>
      <c r="X94" s="214">
        <f t="shared" ref="X94:X96" si="55">F94/D94/8*N94*1.5</f>
        <v>89783.653846153844</v>
      </c>
      <c r="Y94" s="214">
        <f t="shared" ref="Y94:Y96" si="56">F94/D94/8*O94*1.8</f>
        <v>0</v>
      </c>
      <c r="Z94" s="214">
        <f t="shared" ref="Z94:Z96" si="57">F94/D94/8*Q94*2</f>
        <v>997596.15384615387</v>
      </c>
      <c r="AA94" s="214">
        <f t="shared" ref="AA94:AA96" si="58">G94/D94*M94</f>
        <v>500000</v>
      </c>
      <c r="AB94" s="214">
        <f t="shared" ref="AB94:AB96" si="59">H94/D94*M94</f>
        <v>250000</v>
      </c>
      <c r="AC94" s="214">
        <f t="shared" ref="AC94:AC96" si="60">I94/D94*M94</f>
        <v>0</v>
      </c>
      <c r="AD94" s="214">
        <f t="shared" ref="AD94:AD96" si="61">J94/D94*M94</f>
        <v>0</v>
      </c>
      <c r="AE94" s="214">
        <f t="shared" ref="AE94:AE96" si="62">K94/D94*M94</f>
        <v>300000</v>
      </c>
      <c r="AF94" s="214">
        <f t="shared" ref="AF94:AF96" si="63">L94/D94*M94</f>
        <v>800000</v>
      </c>
      <c r="AG94" s="214"/>
      <c r="AH94" s="215">
        <f t="shared" si="43"/>
        <v>7087379.807692308</v>
      </c>
      <c r="AI94" s="214"/>
      <c r="AJ94" s="214"/>
      <c r="AK94" s="214"/>
      <c r="AL94" s="214">
        <v>11000000</v>
      </c>
      <c r="AM94" s="214">
        <f t="shared" si="40"/>
        <v>0</v>
      </c>
      <c r="AN94" s="132">
        <f t="shared" si="44"/>
        <v>11528725.961538462</v>
      </c>
      <c r="AO94" s="214">
        <f t="shared" si="41"/>
        <v>-4441346.153846154</v>
      </c>
      <c r="AP94" s="204">
        <f t="shared" ref="AP94:AP96" si="64">IF($A94="",0,IF(AO94&lt;=0,0,IF(AO94&lt;=5000000,AO94*$AW$3,IF(AO94&lt;=10000000,$AW$2*$AW$3+(AO94-$AW$2)*$AX$3,IF(AO94&lt;18000000,$AW$2*$AW$3+$AW$2*$AX$3+(AO94-$AX$2)*$AY$3,IF(AO94&lt;=32000000,$AW$2*$AW$3+$AW$2*$AX$3+$AY$2*$AY$3+(AO94-$AZ$2)*$BA$3))))))</f>
        <v>0</v>
      </c>
      <c r="AQ94" s="214">
        <f t="shared" ref="AQ94:AQ96" si="65">F94/D94/8*P94</f>
        <v>0</v>
      </c>
      <c r="AR94" s="214"/>
      <c r="AS94" s="214"/>
      <c r="AT94" s="197">
        <f t="shared" ref="AT94:AT96" si="66">AP94+AI94+AJ94+SUM(AQ94:AS94)</f>
        <v>0</v>
      </c>
      <c r="AU94" s="216">
        <f t="shared" ref="AU94:AU96" si="67">AH94-AT94</f>
        <v>7087379.807692308</v>
      </c>
    </row>
    <row r="95" spans="1:48" customFormat="1" ht="15.75" x14ac:dyDescent="0.25">
      <c r="A95" s="212">
        <v>84</v>
      </c>
      <c r="B95" s="72" t="s">
        <v>32</v>
      </c>
      <c r="C95" s="73" t="s">
        <v>33</v>
      </c>
      <c r="D95" s="72">
        <v>26</v>
      </c>
      <c r="E95" s="131">
        <f t="shared" si="54"/>
        <v>5500000</v>
      </c>
      <c r="F95" s="126">
        <v>4150000</v>
      </c>
      <c r="G95" s="126">
        <v>500000</v>
      </c>
      <c r="H95" s="126">
        <v>250000</v>
      </c>
      <c r="I95" s="126"/>
      <c r="J95" s="126"/>
      <c r="K95" s="126">
        <v>300000</v>
      </c>
      <c r="L95" s="126">
        <v>300000</v>
      </c>
      <c r="M95" s="213">
        <f>'BẢNG CHẤM CÔNG T3'!D96</f>
        <v>25</v>
      </c>
      <c r="N95" s="213">
        <f>'BẢNG CHẤM CÔNG T3'!E96</f>
        <v>0</v>
      </c>
      <c r="O95" s="213">
        <f>'BẢNG CHẤM CÔNG T3'!F96</f>
        <v>0</v>
      </c>
      <c r="P95" s="213">
        <f>'BẢNG CHẤM CÔNG T3'!G96</f>
        <v>0</v>
      </c>
      <c r="Q95" s="213">
        <f>'BẢNG CHẤM CÔNG T3'!H96</f>
        <v>0</v>
      </c>
      <c r="R95" s="213">
        <f>'BẢNG CHẤM CÔNG T3'!I96</f>
        <v>0</v>
      </c>
      <c r="S95" s="213">
        <f>'BẢNG CHẤM CÔNG T3'!J96</f>
        <v>1</v>
      </c>
      <c r="T95" s="213">
        <f>'BẢNG CHẤM CÔNG T3'!K96</f>
        <v>0</v>
      </c>
      <c r="U95" s="213">
        <f>'BẢNG CHẤM CÔNG T3'!L96</f>
        <v>0</v>
      </c>
      <c r="V95" s="213">
        <f>'BẢNG CHẤM CÔNG T3'!M96</f>
        <v>0</v>
      </c>
      <c r="W95" s="214">
        <f t="shared" si="35"/>
        <v>3990384.6153846155</v>
      </c>
      <c r="X95" s="214">
        <f t="shared" si="55"/>
        <v>0</v>
      </c>
      <c r="Y95" s="214">
        <f t="shared" si="56"/>
        <v>0</v>
      </c>
      <c r="Z95" s="214">
        <f t="shared" si="57"/>
        <v>0</v>
      </c>
      <c r="AA95" s="214">
        <f t="shared" si="58"/>
        <v>480769.23076923075</v>
      </c>
      <c r="AB95" s="214">
        <f t="shared" si="59"/>
        <v>240384.61538461538</v>
      </c>
      <c r="AC95" s="214">
        <f t="shared" si="60"/>
        <v>0</v>
      </c>
      <c r="AD95" s="214">
        <f t="shared" si="61"/>
        <v>0</v>
      </c>
      <c r="AE95" s="214">
        <f t="shared" si="62"/>
        <v>288461.5384615385</v>
      </c>
      <c r="AF95" s="214">
        <f t="shared" si="63"/>
        <v>288461.5384615385</v>
      </c>
      <c r="AG95" s="214"/>
      <c r="AH95" s="215">
        <f t="shared" si="43"/>
        <v>5288461.538461538</v>
      </c>
      <c r="AI95" s="214"/>
      <c r="AJ95" s="214"/>
      <c r="AK95" s="214"/>
      <c r="AL95" s="214">
        <v>11000000</v>
      </c>
      <c r="AM95" s="214">
        <f t="shared" si="40"/>
        <v>0</v>
      </c>
      <c r="AN95" s="132">
        <f t="shared" si="44"/>
        <v>11000000</v>
      </c>
      <c r="AO95" s="214">
        <f t="shared" si="41"/>
        <v>-5711538.461538462</v>
      </c>
      <c r="AP95" s="204">
        <f t="shared" si="64"/>
        <v>0</v>
      </c>
      <c r="AQ95" s="214">
        <f t="shared" si="65"/>
        <v>0</v>
      </c>
      <c r="AR95" s="214"/>
      <c r="AS95" s="214"/>
      <c r="AT95" s="197">
        <f t="shared" si="66"/>
        <v>0</v>
      </c>
      <c r="AU95" s="216">
        <f t="shared" si="67"/>
        <v>5288461.538461538</v>
      </c>
    </row>
    <row r="96" spans="1:48" customFormat="1" ht="15.75" x14ac:dyDescent="0.25">
      <c r="A96" s="212">
        <v>85</v>
      </c>
      <c r="B96" s="72" t="s">
        <v>500</v>
      </c>
      <c r="C96" s="73" t="s">
        <v>501</v>
      </c>
      <c r="D96" s="72">
        <v>26</v>
      </c>
      <c r="E96" s="131">
        <f t="shared" si="54"/>
        <v>5500000</v>
      </c>
      <c r="F96" s="126">
        <v>4150000</v>
      </c>
      <c r="G96" s="126">
        <v>500000</v>
      </c>
      <c r="H96" s="126">
        <v>250000</v>
      </c>
      <c r="I96" s="126"/>
      <c r="J96" s="126"/>
      <c r="K96" s="126">
        <v>300000</v>
      </c>
      <c r="L96" s="126">
        <v>300000</v>
      </c>
      <c r="M96" s="213">
        <f>'BẢNG CHẤM CÔNG T3'!D97</f>
        <v>16.5</v>
      </c>
      <c r="N96" s="213">
        <f>'BẢNG CHẤM CÔNG T3'!E97</f>
        <v>15</v>
      </c>
      <c r="O96" s="213">
        <f>'BẢNG CHẤM CÔNG T3'!F97</f>
        <v>0</v>
      </c>
      <c r="P96" s="213">
        <f>'BẢNG CHẤM CÔNG T3'!G97</f>
        <v>0</v>
      </c>
      <c r="Q96" s="213">
        <f>'BẢNG CHẤM CÔNG T3'!H97</f>
        <v>8</v>
      </c>
      <c r="R96" s="213">
        <f>'BẢNG CHẤM CÔNG T3'!I97</f>
        <v>0</v>
      </c>
      <c r="S96" s="213">
        <f>'BẢNG CHẤM CÔNG T3'!J97</f>
        <v>0</v>
      </c>
      <c r="T96" s="213">
        <f>'BẢNG CHẤM CÔNG T3'!K97</f>
        <v>0</v>
      </c>
      <c r="U96" s="213">
        <f>'BẢNG CHẤM CÔNG T3'!L97</f>
        <v>0</v>
      </c>
      <c r="V96" s="213">
        <f>'BẢNG CHẤM CÔNG T3'!M97</f>
        <v>0</v>
      </c>
      <c r="W96" s="214">
        <f t="shared" si="35"/>
        <v>2633653.8461538465</v>
      </c>
      <c r="X96" s="214">
        <f t="shared" si="55"/>
        <v>448918.26923076925</v>
      </c>
      <c r="Y96" s="214">
        <f t="shared" si="56"/>
        <v>0</v>
      </c>
      <c r="Z96" s="214">
        <f t="shared" si="57"/>
        <v>319230.76923076925</v>
      </c>
      <c r="AA96" s="214">
        <f t="shared" si="58"/>
        <v>317307.69230769231</v>
      </c>
      <c r="AB96" s="214">
        <f t="shared" si="59"/>
        <v>158653.84615384616</v>
      </c>
      <c r="AC96" s="214">
        <f t="shared" si="60"/>
        <v>0</v>
      </c>
      <c r="AD96" s="214">
        <f t="shared" si="61"/>
        <v>0</v>
      </c>
      <c r="AE96" s="214">
        <f t="shared" si="62"/>
        <v>190384.6153846154</v>
      </c>
      <c r="AF96" s="214">
        <f t="shared" si="63"/>
        <v>190384.6153846154</v>
      </c>
      <c r="AG96" s="214"/>
      <c r="AH96" s="215">
        <f t="shared" si="43"/>
        <v>4258533.653846154</v>
      </c>
      <c r="AI96" s="214"/>
      <c r="AJ96" s="214"/>
      <c r="AK96" s="214"/>
      <c r="AL96" s="214">
        <v>11000000</v>
      </c>
      <c r="AM96" s="214">
        <f t="shared" si="40"/>
        <v>0</v>
      </c>
      <c r="AN96" s="132">
        <f t="shared" si="44"/>
        <v>11309254.807692308</v>
      </c>
      <c r="AO96" s="214">
        <f t="shared" si="41"/>
        <v>-7050721.153846154</v>
      </c>
      <c r="AP96" s="204">
        <f t="shared" si="64"/>
        <v>0</v>
      </c>
      <c r="AQ96" s="214">
        <f t="shared" si="65"/>
        <v>0</v>
      </c>
      <c r="AR96" s="214"/>
      <c r="AS96" s="214"/>
      <c r="AT96" s="197">
        <f t="shared" si="66"/>
        <v>0</v>
      </c>
      <c r="AU96" s="216">
        <f t="shared" si="67"/>
        <v>4258533.653846154</v>
      </c>
    </row>
    <row r="97" spans="1:47" x14ac:dyDescent="0.25">
      <c r="A97" s="495" t="s">
        <v>604</v>
      </c>
      <c r="B97" s="495"/>
      <c r="C97" s="495"/>
      <c r="D97" s="206"/>
      <c r="E97" s="207">
        <f>SUBTOTAL(9,E8:E96)</f>
        <v>519000000</v>
      </c>
      <c r="F97" s="207">
        <f t="shared" ref="F97:AU97" si="68">SUBTOTAL(9,F8:F96)</f>
        <v>373300000</v>
      </c>
      <c r="G97" s="207">
        <f t="shared" si="68"/>
        <v>41000000</v>
      </c>
      <c r="H97" s="207">
        <f t="shared" si="68"/>
        <v>21000000</v>
      </c>
      <c r="I97" s="207">
        <f t="shared" si="68"/>
        <v>8200000</v>
      </c>
      <c r="J97" s="207">
        <f t="shared" si="68"/>
        <v>3200000</v>
      </c>
      <c r="K97" s="207">
        <f t="shared" si="68"/>
        <v>20600000</v>
      </c>
      <c r="L97" s="207">
        <f t="shared" si="68"/>
        <v>51700000</v>
      </c>
      <c r="M97" s="207">
        <f t="shared" si="68"/>
        <v>1522</v>
      </c>
      <c r="N97" s="207">
        <f t="shared" si="68"/>
        <v>3693.1000000000004</v>
      </c>
      <c r="O97" s="207">
        <f t="shared" si="68"/>
        <v>182.6</v>
      </c>
      <c r="P97" s="207">
        <f t="shared" si="68"/>
        <v>23.233333333333334</v>
      </c>
      <c r="Q97" s="207">
        <f t="shared" si="68"/>
        <v>1117.2</v>
      </c>
      <c r="R97" s="207">
        <f t="shared" si="68"/>
        <v>0</v>
      </c>
      <c r="S97" s="207">
        <f t="shared" si="68"/>
        <v>35</v>
      </c>
      <c r="T97" s="207">
        <f t="shared" si="68"/>
        <v>0</v>
      </c>
      <c r="U97" s="207">
        <f t="shared" si="68"/>
        <v>4</v>
      </c>
      <c r="V97" s="207">
        <f t="shared" si="68"/>
        <v>0</v>
      </c>
      <c r="W97" s="207">
        <f t="shared" si="68"/>
        <v>260101923.07692304</v>
      </c>
      <c r="X97" s="207">
        <f t="shared" si="68"/>
        <v>118639146.63461541</v>
      </c>
      <c r="Y97" s="207">
        <f t="shared" si="68"/>
        <v>7111471.153846154</v>
      </c>
      <c r="Z97" s="207">
        <f t="shared" si="68"/>
        <v>47781153.84615387</v>
      </c>
      <c r="AA97" s="207">
        <f t="shared" si="68"/>
        <v>28317307.692307696</v>
      </c>
      <c r="AB97" s="207">
        <f t="shared" si="68"/>
        <v>14634615.384615386</v>
      </c>
      <c r="AC97" s="207">
        <f t="shared" si="68"/>
        <v>7950000</v>
      </c>
      <c r="AD97" s="207">
        <f t="shared" si="68"/>
        <v>3136538.4615384615</v>
      </c>
      <c r="AE97" s="207">
        <f t="shared" si="68"/>
        <v>18865384.615384612</v>
      </c>
      <c r="AF97" s="207">
        <f t="shared" si="68"/>
        <v>42924999.999999993</v>
      </c>
      <c r="AG97" s="207">
        <f t="shared" si="68"/>
        <v>6251093.75</v>
      </c>
      <c r="AH97" s="207">
        <f t="shared" si="68"/>
        <v>555713634.61538446</v>
      </c>
      <c r="AI97" s="207">
        <f t="shared" si="68"/>
        <v>0</v>
      </c>
      <c r="AJ97" s="207">
        <f t="shared" si="68"/>
        <v>0</v>
      </c>
      <c r="AK97" s="207">
        <f t="shared" si="68"/>
        <v>0</v>
      </c>
      <c r="AL97" s="207">
        <f t="shared" si="68"/>
        <v>924000000</v>
      </c>
      <c r="AM97" s="207">
        <f t="shared" si="68"/>
        <v>0</v>
      </c>
      <c r="AN97" s="207">
        <f t="shared" si="68"/>
        <v>990597612.98076952</v>
      </c>
      <c r="AO97" s="207">
        <f t="shared" si="68"/>
        <v>-434883978.36538458</v>
      </c>
      <c r="AP97" s="207">
        <f t="shared" si="68"/>
        <v>89356.971153846214</v>
      </c>
      <c r="AQ97" s="207">
        <f t="shared" si="68"/>
        <v>497059.29487179499</v>
      </c>
      <c r="AR97" s="207">
        <f t="shared" si="68"/>
        <v>0</v>
      </c>
      <c r="AS97" s="207">
        <f t="shared" si="68"/>
        <v>1100000</v>
      </c>
      <c r="AT97" s="207">
        <f t="shared" si="68"/>
        <v>1598982.3717948722</v>
      </c>
      <c r="AU97" s="207">
        <f t="shared" si="68"/>
        <v>554114652.24358976</v>
      </c>
    </row>
    <row r="100" spans="1:47" s="201" customFormat="1" ht="14.25" x14ac:dyDescent="0.25">
      <c r="D100" s="210"/>
      <c r="E100" s="210"/>
      <c r="F100" s="190" t="s">
        <v>607</v>
      </c>
      <c r="G100" s="190"/>
      <c r="H100" s="190"/>
      <c r="I100" s="190"/>
      <c r="J100" s="190"/>
      <c r="K100" s="190"/>
      <c r="L100" s="190"/>
      <c r="M100" s="211" t="s">
        <v>608</v>
      </c>
      <c r="N100" s="211"/>
      <c r="O100" s="211"/>
      <c r="P100" s="211"/>
      <c r="Q100" s="211"/>
      <c r="R100" s="211"/>
      <c r="S100" s="211"/>
      <c r="T100" s="211"/>
      <c r="U100" s="211"/>
      <c r="V100" s="211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491" t="s">
        <v>606</v>
      </c>
      <c r="AJ100" s="491"/>
      <c r="AK100" s="190"/>
      <c r="AL100" s="190"/>
      <c r="AO100" s="190"/>
      <c r="AP100" s="190"/>
      <c r="AQ100" s="190"/>
      <c r="AR100" s="190"/>
      <c r="AS100" s="190"/>
      <c r="AT100" s="491" t="s">
        <v>605</v>
      </c>
      <c r="AU100" s="491"/>
    </row>
  </sheetData>
  <mergeCells count="45">
    <mergeCell ref="A39:C39"/>
    <mergeCell ref="A45:C45"/>
    <mergeCell ref="A89:C89"/>
    <mergeCell ref="A93:C93"/>
    <mergeCell ref="A97:C97"/>
    <mergeCell ref="A8:C8"/>
    <mergeCell ref="AR5:AR6"/>
    <mergeCell ref="AS5:AS6"/>
    <mergeCell ref="AB5:AB6"/>
    <mergeCell ref="AC5:AC6"/>
    <mergeCell ref="AD5:AD6"/>
    <mergeCell ref="AE5:AE6"/>
    <mergeCell ref="AF5:AF6"/>
    <mergeCell ref="AQ5:AQ6"/>
    <mergeCell ref="AT100:AU100"/>
    <mergeCell ref="AI100:AJ100"/>
    <mergeCell ref="AG4:AG6"/>
    <mergeCell ref="AU4:AU6"/>
    <mergeCell ref="G5:G6"/>
    <mergeCell ref="H5:H6"/>
    <mergeCell ref="I5:I6"/>
    <mergeCell ref="J5:J6"/>
    <mergeCell ref="K5:K6"/>
    <mergeCell ref="L5:L6"/>
    <mergeCell ref="M5:P5"/>
    <mergeCell ref="R5:V5"/>
    <mergeCell ref="W5:W6"/>
    <mergeCell ref="W4:Z4"/>
    <mergeCell ref="AA4:AF4"/>
    <mergeCell ref="AH4:AH6"/>
    <mergeCell ref="AQ4:AS4"/>
    <mergeCell ref="AT4:AT6"/>
    <mergeCell ref="X5:X6"/>
    <mergeCell ref="Y5:Y6"/>
    <mergeCell ref="Z5:Z6"/>
    <mergeCell ref="AA5:AA6"/>
    <mergeCell ref="A2:S2"/>
    <mergeCell ref="A4:A6"/>
    <mergeCell ref="B4:B6"/>
    <mergeCell ref="C4:C6"/>
    <mergeCell ref="D4:D6"/>
    <mergeCell ref="E4:E6"/>
    <mergeCell ref="F4:F6"/>
    <mergeCell ref="G4:L4"/>
    <mergeCell ref="M4:V4"/>
  </mergeCells>
  <conditionalFormatting sqref="B94:C96">
    <cfRule type="expression" dxfId="15" priority="1">
      <formula>$V94&lt;&gt;""</formula>
    </cfRule>
  </conditionalFormatting>
  <conditionalFormatting sqref="B9:L9 B10:C36 I24:L36 D24:H38 B38:C38 I38:L38 B40:L44 B46:L46 B47:D50 E47:L88 B51:C57 D51:D88 B59:C78 C84:C85 C90:L90 B91:L92 D94:L96">
    <cfRule type="expression" dxfId="12" priority="5">
      <formula>$AE9&lt;&gt;""</formula>
    </cfRule>
  </conditionalFormatting>
  <conditionalFormatting sqref="D10:L23">
    <cfRule type="expression" dxfId="11" priority="3">
      <formula>$AE10&lt;&gt;""</formula>
    </cfRule>
  </conditionalFormatting>
  <pageMargins left="0.7" right="0.7" top="0.75" bottom="0.75" header="0.3" footer="0.3"/>
  <pageSetup orientation="portrait" horizontalDpi="300" verticalDpi="3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67516C-F93F-4A43-A9AB-9C6A902A5A0D}">
            <xm:f>AND(TODAY()-$R94&gt;=90,$U94='\PHỤNG\CHẤM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B94:C96</xm:sqref>
        </x14:conditionalFormatting>
        <x14:conditionalFormatting xmlns:xm="http://schemas.microsoft.com/office/excel/2006/main">
          <x14:cfRule type="expression" priority="6" id="{7068188D-4B51-4B96-AC79-571E9957185E}">
            <xm:f>AND(TODAY()-$AA9&gt;=90,$AD9='\PHỤNG\CHẤM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B9:L9 B10:C36 I24:L36 D24:H38 B38:C38 I38:L38 B40:L44 B46:L46 B47:D50 E47:L88 B51:C57 D51:D88 B59:C78 C84:C85 C90:L90 B91:L92 D94:L96 D10:L22 D23:E23</xm:sqref>
        </x14:conditionalFormatting>
        <x14:conditionalFormatting xmlns:xm="http://schemas.microsoft.com/office/excel/2006/main">
          <x14:cfRule type="expression" priority="4" id="{33076E6C-07A2-4218-B6CC-2F95EAF34E4D}">
            <xm:f>AND(TODAY()-$AA23&gt;=90,$AD23='\PHỤNG\CHẤM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F23:L23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DU25"/>
  <sheetViews>
    <sheetView topLeftCell="C1" zoomScale="80" zoomScaleNormal="80" workbookViewId="0">
      <pane xSplit="1" ySplit="12" topLeftCell="D13" activePane="bottomRight" state="frozen"/>
      <selection activeCell="C1" sqref="C1"/>
      <selection pane="topRight" activeCell="D1" sqref="D1"/>
      <selection pane="bottomLeft" activeCell="C13" sqref="C13"/>
      <selection pane="bottomRight" activeCell="AD12" sqref="AD12"/>
    </sheetView>
  </sheetViews>
  <sheetFormatPr defaultColWidth="9.140625" defaultRowHeight="15" x14ac:dyDescent="0.25"/>
  <cols>
    <col min="1" max="1" width="4.85546875" style="229" bestFit="1" customWidth="1"/>
    <col min="2" max="2" width="8.5703125" style="229" bestFit="1" customWidth="1"/>
    <col min="3" max="3" width="21.140625" style="229" customWidth="1"/>
    <col min="4" max="4" width="7.85546875" style="229" customWidth="1"/>
    <col min="5" max="5" width="7" style="229" customWidth="1"/>
    <col min="6" max="6" width="15.5703125" style="229" customWidth="1"/>
    <col min="7" max="7" width="8.7109375" style="229" customWidth="1"/>
    <col min="8" max="8" width="8.85546875" style="264" customWidth="1"/>
    <col min="9" max="9" width="8.140625" style="264" bestFit="1" customWidth="1"/>
    <col min="10" max="10" width="8.42578125" style="229" bestFit="1" customWidth="1"/>
    <col min="11" max="11" width="6.7109375" style="229" bestFit="1" customWidth="1"/>
    <col min="12" max="12" width="7" style="229" customWidth="1"/>
    <col min="13" max="13" width="7.5703125" style="229" bestFit="1" customWidth="1"/>
    <col min="14" max="14" width="6.7109375" style="229" bestFit="1" customWidth="1"/>
    <col min="15" max="15" width="7.7109375" style="229" customWidth="1"/>
    <col min="16" max="17" width="14.28515625" style="229" customWidth="1"/>
    <col min="18" max="18" width="15.140625" style="229" customWidth="1"/>
    <col min="19" max="19" width="14.28515625" style="229" customWidth="1"/>
    <col min="20" max="20" width="12.85546875" style="229" customWidth="1"/>
    <col min="21" max="21" width="17" style="265" customWidth="1"/>
    <col min="22" max="22" width="9.42578125" style="265" customWidth="1"/>
    <col min="23" max="23" width="7.5703125" style="265" customWidth="1"/>
    <col min="24" max="24" width="7.5703125" style="229" customWidth="1"/>
    <col min="25" max="26" width="16.42578125" style="229" customWidth="1"/>
    <col min="27" max="27" width="17.5703125" style="229" customWidth="1"/>
    <col min="28" max="28" width="16.42578125" style="229" customWidth="1"/>
    <col min="29" max="29" width="13.5703125" style="229" customWidth="1"/>
    <col min="30" max="30" width="12.140625" style="229" customWidth="1"/>
    <col min="31" max="31" width="10" style="229" bestFit="1" customWidth="1"/>
    <col min="32" max="32" width="9.140625" style="229" customWidth="1"/>
    <col min="33" max="33" width="11.7109375" style="229" customWidth="1"/>
    <col min="34" max="34" width="17.140625" style="229" customWidth="1"/>
    <col min="35" max="40" width="10.5703125" style="229" customWidth="1"/>
    <col min="41" max="16384" width="9.140625" style="229"/>
  </cols>
  <sheetData>
    <row r="1" spans="1:40" x14ac:dyDescent="0.25">
      <c r="R1" s="260"/>
    </row>
    <row r="2" spans="1:40" s="219" customFormat="1" x14ac:dyDescent="0.2">
      <c r="E2" s="220"/>
      <c r="F2" s="220"/>
      <c r="H2" s="221"/>
      <c r="I2" s="221"/>
      <c r="Q2" s="246" t="s">
        <v>570</v>
      </c>
      <c r="R2" s="261"/>
      <c r="U2" s="222"/>
      <c r="V2" s="222"/>
      <c r="W2" s="222"/>
      <c r="AH2" s="223"/>
      <c r="AI2" s="275">
        <v>5000000</v>
      </c>
      <c r="AJ2" s="275">
        <v>10000000</v>
      </c>
      <c r="AK2" s="275">
        <v>8000000</v>
      </c>
      <c r="AL2" s="275">
        <v>18000000</v>
      </c>
      <c r="AM2" s="275">
        <v>32000000</v>
      </c>
      <c r="AN2" s="275">
        <v>52000000</v>
      </c>
    </row>
    <row r="3" spans="1:40" s="219" customFormat="1" ht="24.6" customHeight="1" x14ac:dyDescent="0.35">
      <c r="A3" s="505" t="s">
        <v>615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Q3" s="246" t="s">
        <v>571</v>
      </c>
      <c r="R3" s="268"/>
      <c r="U3" s="222"/>
      <c r="V3" s="222"/>
      <c r="W3" s="222"/>
      <c r="AH3" s="223"/>
      <c r="AI3" s="276">
        <v>0.05</v>
      </c>
      <c r="AJ3" s="276">
        <v>0.1</v>
      </c>
      <c r="AK3" s="276">
        <v>0.15</v>
      </c>
      <c r="AL3" s="276">
        <v>0.2</v>
      </c>
      <c r="AM3" s="276">
        <v>0.25</v>
      </c>
      <c r="AN3" s="276">
        <v>0.3</v>
      </c>
    </row>
    <row r="4" spans="1:40" s="224" customFormat="1" ht="15.75" x14ac:dyDescent="0.25">
      <c r="C4" s="225" t="s">
        <v>545</v>
      </c>
      <c r="D4" s="226"/>
      <c r="E4" s="226"/>
      <c r="F4" s="226"/>
      <c r="G4" s="226"/>
      <c r="H4" s="226"/>
      <c r="I4" s="227"/>
      <c r="J4" s="227"/>
      <c r="K4" s="227"/>
      <c r="L4" s="227"/>
      <c r="M4" s="226"/>
      <c r="N4" s="227"/>
      <c r="O4" s="226"/>
      <c r="P4" s="226"/>
      <c r="Q4" s="246" t="s">
        <v>572</v>
      </c>
      <c r="U4" s="228"/>
      <c r="V4" s="228"/>
      <c r="W4" s="228"/>
      <c r="AA4" s="229"/>
      <c r="AB4" s="229"/>
      <c r="AC4" s="229"/>
    </row>
    <row r="5" spans="1:40" s="224" customFormat="1" ht="15.75" x14ac:dyDescent="0.25">
      <c r="B5" s="226"/>
      <c r="C5" s="230" t="s">
        <v>546</v>
      </c>
      <c r="D5" s="226"/>
      <c r="E5" s="226"/>
      <c r="F5" s="226"/>
      <c r="G5" s="226"/>
      <c r="H5" s="226"/>
      <c r="I5" s="227"/>
      <c r="J5" s="227"/>
      <c r="K5" s="227"/>
      <c r="L5" s="227"/>
      <c r="M5" s="226"/>
      <c r="N5" s="227"/>
      <c r="O5" s="226"/>
      <c r="P5" s="226"/>
      <c r="Q5" s="263" t="s">
        <v>573</v>
      </c>
      <c r="T5" s="261"/>
      <c r="U5" s="262"/>
      <c r="W5" s="264"/>
      <c r="X5" s="229"/>
      <c r="AA5" s="229"/>
      <c r="AB5" s="229"/>
      <c r="AC5" s="229"/>
    </row>
    <row r="6" spans="1:40" s="224" customFormat="1" ht="15.75" x14ac:dyDescent="0.25">
      <c r="B6" s="226"/>
      <c r="C6" s="231"/>
      <c r="D6" s="226"/>
      <c r="E6" s="226"/>
      <c r="F6" s="226"/>
      <c r="G6" s="226"/>
      <c r="H6" s="226"/>
      <c r="I6" s="227"/>
      <c r="J6" s="227"/>
      <c r="K6" s="227"/>
      <c r="L6" s="227"/>
      <c r="M6" s="226"/>
      <c r="N6" s="227"/>
      <c r="O6" s="226"/>
      <c r="P6" s="226"/>
      <c r="Q6" s="229"/>
      <c r="T6" s="261"/>
      <c r="U6" s="266"/>
      <c r="V6" s="267"/>
      <c r="W6" s="264"/>
      <c r="X6" s="229"/>
      <c r="AA6" s="229"/>
      <c r="AB6" s="229"/>
      <c r="AC6" s="229"/>
    </row>
    <row r="7" spans="1:40" s="224" customFormat="1" ht="15.75" x14ac:dyDescent="0.25"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229"/>
      <c r="T7" s="261"/>
      <c r="U7" s="269"/>
      <c r="V7" s="270"/>
      <c r="W7" s="264"/>
      <c r="X7" s="229"/>
      <c r="AA7" s="229"/>
      <c r="AB7" s="229"/>
      <c r="AC7" s="229"/>
    </row>
    <row r="8" spans="1:40" s="224" customFormat="1" ht="21" x14ac:dyDescent="0.35">
      <c r="B8" s="522"/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U8" s="228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</row>
    <row r="9" spans="1:40" s="222" customFormat="1" ht="15" customHeight="1" x14ac:dyDescent="0.25">
      <c r="A9" s="500" t="s">
        <v>15</v>
      </c>
      <c r="B9" s="500" t="s">
        <v>16</v>
      </c>
      <c r="C9" s="500" t="s">
        <v>17</v>
      </c>
      <c r="D9" s="500" t="s">
        <v>190</v>
      </c>
      <c r="E9" s="500" t="s">
        <v>524</v>
      </c>
      <c r="F9" s="500" t="s">
        <v>528</v>
      </c>
      <c r="G9" s="497" t="s">
        <v>508</v>
      </c>
      <c r="H9" s="497"/>
      <c r="I9" s="497"/>
      <c r="J9" s="497"/>
      <c r="K9" s="497"/>
      <c r="L9" s="497"/>
      <c r="M9" s="497"/>
      <c r="N9" s="497"/>
      <c r="O9" s="497"/>
      <c r="P9" s="503" t="s">
        <v>583</v>
      </c>
      <c r="Q9" s="503"/>
      <c r="R9" s="497"/>
      <c r="S9" s="497"/>
      <c r="T9" s="497" t="s">
        <v>198</v>
      </c>
      <c r="U9" s="496" t="s">
        <v>599</v>
      </c>
      <c r="V9" s="518" t="s">
        <v>597</v>
      </c>
      <c r="W9" s="519"/>
      <c r="X9" s="513" t="s">
        <v>592</v>
      </c>
      <c r="Y9" s="514"/>
      <c r="Z9" s="515"/>
      <c r="AA9" s="508" t="s">
        <v>525</v>
      </c>
      <c r="AB9" s="508" t="s">
        <v>593</v>
      </c>
      <c r="AC9" s="508" t="s">
        <v>594</v>
      </c>
      <c r="AD9" s="507" t="s">
        <v>511</v>
      </c>
      <c r="AE9" s="507"/>
      <c r="AF9" s="507"/>
      <c r="AG9" s="496" t="s">
        <v>525</v>
      </c>
      <c r="AH9" s="498" t="s">
        <v>512</v>
      </c>
    </row>
    <row r="10" spans="1:40" s="222" customFormat="1" ht="15" customHeight="1" x14ac:dyDescent="0.25">
      <c r="A10" s="501"/>
      <c r="B10" s="501"/>
      <c r="C10" s="501"/>
      <c r="D10" s="501"/>
      <c r="E10" s="501"/>
      <c r="F10" s="501"/>
      <c r="G10" s="504" t="s">
        <v>18</v>
      </c>
      <c r="H10" s="504"/>
      <c r="I10" s="504"/>
      <c r="J10" s="232" t="s">
        <v>12</v>
      </c>
      <c r="K10" s="503" t="s">
        <v>19</v>
      </c>
      <c r="L10" s="503"/>
      <c r="M10" s="503"/>
      <c r="N10" s="503"/>
      <c r="O10" s="503"/>
      <c r="P10" s="503"/>
      <c r="Q10" s="503"/>
      <c r="R10" s="497" t="s">
        <v>581</v>
      </c>
      <c r="S10" s="497" t="s">
        <v>529</v>
      </c>
      <c r="T10" s="497"/>
      <c r="U10" s="496"/>
      <c r="V10" s="520" t="s">
        <v>600</v>
      </c>
      <c r="W10" s="520" t="s">
        <v>601</v>
      </c>
      <c r="X10" s="511" t="s">
        <v>598</v>
      </c>
      <c r="Y10" s="516" t="s">
        <v>595</v>
      </c>
      <c r="Z10" s="516" t="s">
        <v>596</v>
      </c>
      <c r="AA10" s="509"/>
      <c r="AB10" s="509"/>
      <c r="AC10" s="509"/>
      <c r="AD10" s="496" t="s">
        <v>686</v>
      </c>
      <c r="AE10" s="497" t="s">
        <v>526</v>
      </c>
      <c r="AF10" s="497" t="s">
        <v>527</v>
      </c>
      <c r="AG10" s="496"/>
      <c r="AH10" s="498"/>
    </row>
    <row r="11" spans="1:40" s="222" customFormat="1" ht="56.45" customHeight="1" x14ac:dyDescent="0.25">
      <c r="A11" s="502"/>
      <c r="B11" s="502"/>
      <c r="C11" s="502"/>
      <c r="D11" s="502"/>
      <c r="E11" s="502"/>
      <c r="F11" s="502"/>
      <c r="G11" s="234" t="s">
        <v>1</v>
      </c>
      <c r="H11" s="235" t="s">
        <v>582</v>
      </c>
      <c r="I11" s="235" t="s">
        <v>454</v>
      </c>
      <c r="J11" s="236" t="s">
        <v>1</v>
      </c>
      <c r="K11" s="236" t="s">
        <v>20</v>
      </c>
      <c r="L11" s="236" t="s">
        <v>579</v>
      </c>
      <c r="M11" s="236" t="s">
        <v>22</v>
      </c>
      <c r="N11" s="236" t="s">
        <v>23</v>
      </c>
      <c r="O11" s="236" t="s">
        <v>455</v>
      </c>
      <c r="P11" s="236" t="s">
        <v>195</v>
      </c>
      <c r="Q11" s="236" t="s">
        <v>194</v>
      </c>
      <c r="R11" s="497"/>
      <c r="S11" s="497"/>
      <c r="T11" s="497"/>
      <c r="U11" s="496"/>
      <c r="V11" s="521"/>
      <c r="W11" s="521"/>
      <c r="X11" s="512"/>
      <c r="Y11" s="517"/>
      <c r="Z11" s="517"/>
      <c r="AA11" s="510"/>
      <c r="AB11" s="510"/>
      <c r="AC11" s="510"/>
      <c r="AD11" s="497"/>
      <c r="AE11" s="497"/>
      <c r="AF11" s="497"/>
      <c r="AG11" s="496"/>
      <c r="AH11" s="498"/>
    </row>
    <row r="12" spans="1:40" s="220" customFormat="1" x14ac:dyDescent="0.25">
      <c r="A12" s="233">
        <v>1</v>
      </c>
      <c r="B12" s="233">
        <v>2</v>
      </c>
      <c r="C12" s="233">
        <v>3</v>
      </c>
      <c r="D12" s="233">
        <v>4</v>
      </c>
      <c r="E12" s="233">
        <v>5</v>
      </c>
      <c r="F12" s="233">
        <v>6</v>
      </c>
      <c r="G12" s="233">
        <v>7</v>
      </c>
      <c r="H12" s="233">
        <v>8</v>
      </c>
      <c r="I12" s="233">
        <v>9</v>
      </c>
      <c r="J12" s="233">
        <v>10</v>
      </c>
      <c r="K12" s="233">
        <v>11</v>
      </c>
      <c r="L12" s="233">
        <v>12</v>
      </c>
      <c r="M12" s="233">
        <v>13</v>
      </c>
      <c r="N12" s="233">
        <v>14</v>
      </c>
      <c r="O12" s="233">
        <v>15</v>
      </c>
      <c r="P12" s="233">
        <v>16</v>
      </c>
      <c r="Q12" s="233">
        <v>17</v>
      </c>
      <c r="R12" s="233">
        <v>18</v>
      </c>
      <c r="S12" s="233">
        <v>19</v>
      </c>
      <c r="T12" s="233">
        <v>20</v>
      </c>
      <c r="U12" s="233">
        <v>21</v>
      </c>
      <c r="V12" s="233">
        <v>22</v>
      </c>
      <c r="W12" s="233">
        <v>23</v>
      </c>
      <c r="X12" s="233">
        <v>24</v>
      </c>
      <c r="Y12" s="233">
        <v>25</v>
      </c>
      <c r="Z12" s="233">
        <v>26</v>
      </c>
      <c r="AA12" s="233">
        <v>27</v>
      </c>
      <c r="AB12" s="233">
        <v>28</v>
      </c>
      <c r="AC12" s="233">
        <v>29</v>
      </c>
      <c r="AD12" s="233">
        <v>30</v>
      </c>
      <c r="AE12" s="233">
        <v>31</v>
      </c>
      <c r="AF12" s="233">
        <v>32</v>
      </c>
      <c r="AG12" s="233">
        <v>33</v>
      </c>
      <c r="AH12" s="233">
        <v>34</v>
      </c>
    </row>
    <row r="13" spans="1:40" ht="15.75" x14ac:dyDescent="0.25">
      <c r="A13" s="237">
        <v>1</v>
      </c>
      <c r="B13" s="238" t="s">
        <v>471</v>
      </c>
      <c r="C13" s="239" t="s">
        <v>473</v>
      </c>
      <c r="D13" s="239" t="s">
        <v>563</v>
      </c>
      <c r="E13" s="240">
        <v>26</v>
      </c>
      <c r="F13" s="240">
        <v>10000000</v>
      </c>
      <c r="G13" s="240">
        <f>'BẢNG CHẤM CÔNG T3'!D98</f>
        <v>26</v>
      </c>
      <c r="H13" s="241">
        <f>'BẢNG CHẤM CÔNG T3'!E98</f>
        <v>0</v>
      </c>
      <c r="I13" s="241">
        <v>5</v>
      </c>
      <c r="J13" s="240">
        <f>'BẢNG CHẤM CÔNG T3'!H98</f>
        <v>0</v>
      </c>
      <c r="K13" s="240">
        <f>'BẢNG CHẤM CÔNG T3'!I98</f>
        <v>0</v>
      </c>
      <c r="L13" s="240">
        <f>'BẢNG CHẤM CÔNG T3'!J98</f>
        <v>0</v>
      </c>
      <c r="M13" s="240">
        <f>'BẢNG CHẤM CÔNG T3'!K98</f>
        <v>0</v>
      </c>
      <c r="N13" s="240">
        <f>'BẢNG CHẤM CÔNG T3'!L98</f>
        <v>0</v>
      </c>
      <c r="O13" s="240">
        <f>'BẢNG CHẤM CÔNG T3'!M98</f>
        <v>0</v>
      </c>
      <c r="P13" s="240"/>
      <c r="Q13" s="240"/>
      <c r="R13" s="240">
        <f t="shared" ref="R13:R21" si="0">F13/E13/8*H13</f>
        <v>0</v>
      </c>
      <c r="S13" s="240">
        <f t="shared" ref="S13:S21" si="1">F13/E13/8*J13*2</f>
        <v>0</v>
      </c>
      <c r="T13" s="240"/>
      <c r="U13" s="242">
        <f t="shared" ref="U13:U21" si="2">(Q13+P13+F13)/E13*(G13+O13)+SUM(R13:T13)</f>
        <v>10000000</v>
      </c>
      <c r="V13" s="242"/>
      <c r="W13" s="242"/>
      <c r="X13" s="240"/>
      <c r="Y13" s="240">
        <v>11000000</v>
      </c>
      <c r="Z13" s="240">
        <f>4400000*X13</f>
        <v>0</v>
      </c>
      <c r="AA13" s="240">
        <f>SUM(Y13:Z13)-V13</f>
        <v>11000000</v>
      </c>
      <c r="AB13" s="240">
        <f t="shared" ref="AB13:AB14" si="3">U13-SUM(V13:W13)-AA13-S13/2</f>
        <v>-1000000</v>
      </c>
      <c r="AC13" s="204">
        <f>IF($A13="",0,IF(AB13&lt;=0,0,IF(AB13&lt;=5000000,AB13*$AI$3,IF(AB13&lt;=10000000,$AI$2*$AI$3+(AB13-$AI$2)*$AJ$3,IF(AB13&lt;18000000,$AI$2*$AI$3+$AI$2*$AJ$3+(AB13-$AJ$2)*$AJJ$3,IF(AB13&lt;=32000000,$AI$2*$AI$3+$AI$2*$AJ$3+$AK$2*$AK$3+(AB13-$AL$2)*$AL$3))))))</f>
        <v>0</v>
      </c>
      <c r="AD13" s="240"/>
      <c r="AE13" s="240"/>
      <c r="AF13" s="240"/>
      <c r="AG13" s="240">
        <f>V13+W13+AC13+SUM(AD13:AF13)</f>
        <v>0</v>
      </c>
      <c r="AH13" s="243">
        <f t="shared" ref="AH13:AH21" si="4">U13-AG13</f>
        <v>10000000</v>
      </c>
    </row>
    <row r="14" spans="1:40" ht="15.75" x14ac:dyDescent="0.25">
      <c r="A14" s="237">
        <v>2</v>
      </c>
      <c r="B14" s="238" t="s">
        <v>472</v>
      </c>
      <c r="C14" s="239" t="s">
        <v>474</v>
      </c>
      <c r="D14" s="239" t="s">
        <v>564</v>
      </c>
      <c r="E14" s="240">
        <v>26</v>
      </c>
      <c r="F14" s="240">
        <f>10000000</f>
        <v>10000000</v>
      </c>
      <c r="G14" s="240">
        <f>'BẢNG CHẤM CÔNG T3'!D99</f>
        <v>26</v>
      </c>
      <c r="H14" s="241">
        <f>'BẢNG CHẤM CÔNG T3'!E99</f>
        <v>0</v>
      </c>
      <c r="I14" s="241">
        <f>'BẢNG CHẤM CÔNG T3'!G99</f>
        <v>0</v>
      </c>
      <c r="J14" s="240">
        <f>'BẢNG CHẤM CÔNG T3'!H99</f>
        <v>0</v>
      </c>
      <c r="K14" s="240">
        <f>'BẢNG CHẤM CÔNG T3'!I99</f>
        <v>0</v>
      </c>
      <c r="L14" s="240">
        <f>'BẢNG CHẤM CÔNG T3'!J99</f>
        <v>0</v>
      </c>
      <c r="M14" s="240">
        <f>'BẢNG CHẤM CÔNG T3'!K99</f>
        <v>0</v>
      </c>
      <c r="N14" s="240">
        <f>'BẢNG CHẤM CÔNG T3'!L99</f>
        <v>0</v>
      </c>
      <c r="O14" s="240">
        <f>'BẢNG CHẤM CÔNG T3'!M99</f>
        <v>0</v>
      </c>
      <c r="P14" s="240">
        <v>500000</v>
      </c>
      <c r="Q14" s="240">
        <v>500000</v>
      </c>
      <c r="R14" s="240">
        <f t="shared" si="0"/>
        <v>0</v>
      </c>
      <c r="S14" s="240">
        <f t="shared" si="1"/>
        <v>0</v>
      </c>
      <c r="T14" s="240"/>
      <c r="U14" s="242">
        <f t="shared" si="2"/>
        <v>11000000</v>
      </c>
      <c r="V14" s="242"/>
      <c r="W14" s="242"/>
      <c r="X14" s="240"/>
      <c r="Y14" s="240">
        <v>11000000</v>
      </c>
      <c r="Z14" s="240">
        <f t="shared" ref="Z14:Z21" si="5">4400000*X14</f>
        <v>0</v>
      </c>
      <c r="AA14" s="240">
        <f t="shared" ref="AA14:AA21" si="6">SUM(Y14:Z14)-V14</f>
        <v>11000000</v>
      </c>
      <c r="AB14" s="240">
        <f t="shared" si="3"/>
        <v>0</v>
      </c>
      <c r="AC14" s="204">
        <f t="shared" ref="AC14:AC21" si="7">IF($A14="",0,IF(AB14&lt;=0,0,IF(AB14&lt;=5000000,AB14*$AI$3,IF(AB14&lt;=10000000,$AI$2*$AI$3+(AB14-$AI$2)*$AJ$3,IF(AB14&lt;18000000,$AI$2*$AI$3+$AI$2*$AJ$3+(AB14-$AJ$2)*$AJJ$3,IF(AB14&lt;=32000000,$AI$2*$AI$3+$AI$2*$AJ$3+$AK$2*$AK$3+(AB14-$AL$2)*$AL$3))))))</f>
        <v>0</v>
      </c>
      <c r="AD14" s="240">
        <f t="shared" ref="AD14:AD21" si="8">F14/26/8*I14</f>
        <v>0</v>
      </c>
      <c r="AE14" s="240"/>
      <c r="AF14" s="240"/>
      <c r="AG14" s="240">
        <f t="shared" ref="AG14:AG21" si="9">V14+W14+AC14+SUM(AD14:AF14)</f>
        <v>0</v>
      </c>
      <c r="AH14" s="243">
        <f t="shared" si="4"/>
        <v>11000000</v>
      </c>
    </row>
    <row r="15" spans="1:40" ht="15.75" x14ac:dyDescent="0.25">
      <c r="A15" s="237">
        <v>3</v>
      </c>
      <c r="B15" s="238" t="s">
        <v>102</v>
      </c>
      <c r="C15" s="239" t="s">
        <v>101</v>
      </c>
      <c r="D15" s="239" t="s">
        <v>565</v>
      </c>
      <c r="E15" s="240">
        <v>26</v>
      </c>
      <c r="F15" s="240">
        <v>6500000</v>
      </c>
      <c r="G15" s="240">
        <f>'BẢNG CHẤM CÔNG T3'!D100</f>
        <v>25</v>
      </c>
      <c r="H15" s="241">
        <f>'BẢNG CHẤM CÔNG T3'!E100</f>
        <v>42</v>
      </c>
      <c r="I15" s="241">
        <f>'BẢNG CHẤM CÔNG T3'!G100</f>
        <v>0</v>
      </c>
      <c r="J15" s="240">
        <f>'BẢNG CHẤM CÔNG T3'!H100</f>
        <v>13</v>
      </c>
      <c r="K15" s="240">
        <f>'BẢNG CHẤM CÔNG T3'!I100</f>
        <v>0</v>
      </c>
      <c r="L15" s="240">
        <f>'BẢNG CHẤM CÔNG T3'!J100</f>
        <v>1</v>
      </c>
      <c r="M15" s="240">
        <f>'BẢNG CHẤM CÔNG T3'!K100</f>
        <v>0</v>
      </c>
      <c r="N15" s="240">
        <f>'BẢNG CHẤM CÔNG T3'!L100</f>
        <v>0</v>
      </c>
      <c r="O15" s="240">
        <f>'BẢNG CHẤM CÔNG T3'!M100</f>
        <v>0</v>
      </c>
      <c r="P15" s="240"/>
      <c r="Q15" s="240"/>
      <c r="R15" s="240">
        <f t="shared" si="0"/>
        <v>1312500</v>
      </c>
      <c r="S15" s="240">
        <f t="shared" si="1"/>
        <v>812500</v>
      </c>
      <c r="T15" s="240"/>
      <c r="U15" s="242">
        <f t="shared" si="2"/>
        <v>8375000</v>
      </c>
      <c r="V15" s="242"/>
      <c r="W15" s="242"/>
      <c r="X15" s="240"/>
      <c r="Y15" s="240">
        <v>11000000</v>
      </c>
      <c r="Z15" s="240">
        <f t="shared" si="5"/>
        <v>0</v>
      </c>
      <c r="AA15" s="240">
        <f t="shared" si="6"/>
        <v>11000000</v>
      </c>
      <c r="AB15" s="240">
        <f>U15-SUM(V15:W15)-AA15-S15/2</f>
        <v>-3031250</v>
      </c>
      <c r="AC15" s="204">
        <f t="shared" si="7"/>
        <v>0</v>
      </c>
      <c r="AD15" s="240">
        <f t="shared" si="8"/>
        <v>0</v>
      </c>
      <c r="AE15" s="240"/>
      <c r="AF15" s="240"/>
      <c r="AG15" s="240">
        <f t="shared" si="9"/>
        <v>0</v>
      </c>
      <c r="AH15" s="243">
        <f t="shared" si="4"/>
        <v>8375000</v>
      </c>
    </row>
    <row r="16" spans="1:40" ht="15.75" x14ac:dyDescent="0.25">
      <c r="A16" s="237">
        <v>4</v>
      </c>
      <c r="B16" s="238" t="s">
        <v>102</v>
      </c>
      <c r="C16" s="239" t="s">
        <v>103</v>
      </c>
      <c r="D16" s="239" t="s">
        <v>566</v>
      </c>
      <c r="E16" s="240">
        <v>26</v>
      </c>
      <c r="F16" s="240">
        <v>8500000</v>
      </c>
      <c r="G16" s="240">
        <f>'BẢNG CHẤM CÔNG T3'!D101</f>
        <v>26</v>
      </c>
      <c r="H16" s="241">
        <f>'BẢNG CHẤM CÔNG T3'!E101+'BẢNG CHẤM CÔNG T3'!F101</f>
        <v>60.5</v>
      </c>
      <c r="I16" s="241">
        <f>'BẢNG CHẤM CÔNG T3'!G101</f>
        <v>1</v>
      </c>
      <c r="J16" s="240">
        <f>'BẢNG CHẤM CÔNG T3'!H101</f>
        <v>0</v>
      </c>
      <c r="K16" s="240">
        <f>'BẢNG CHẤM CÔNG T3'!I101</f>
        <v>0</v>
      </c>
      <c r="L16" s="240">
        <f>'BẢNG CHẤM CÔNG T3'!J101</f>
        <v>0</v>
      </c>
      <c r="M16" s="240">
        <f>'BẢNG CHẤM CÔNG T3'!K101</f>
        <v>0</v>
      </c>
      <c r="N16" s="240">
        <f>'BẢNG CHẤM CÔNG T3'!L101</f>
        <v>0</v>
      </c>
      <c r="O16" s="240">
        <f>'BẢNG CHẤM CÔNG T3'!M101</f>
        <v>0</v>
      </c>
      <c r="P16" s="240"/>
      <c r="Q16" s="240"/>
      <c r="R16" s="240">
        <f t="shared" si="0"/>
        <v>2472355.7692307695</v>
      </c>
      <c r="S16" s="240">
        <f t="shared" si="1"/>
        <v>0</v>
      </c>
      <c r="T16" s="240"/>
      <c r="U16" s="242">
        <f t="shared" si="2"/>
        <v>10972355.76923077</v>
      </c>
      <c r="V16" s="242"/>
      <c r="W16" s="242"/>
      <c r="X16" s="240"/>
      <c r="Y16" s="240">
        <v>11000000</v>
      </c>
      <c r="Z16" s="240">
        <f t="shared" si="5"/>
        <v>0</v>
      </c>
      <c r="AA16" s="240">
        <f t="shared" si="6"/>
        <v>11000000</v>
      </c>
      <c r="AB16" s="240">
        <f t="shared" ref="AB16:AB21" si="10">U16-SUM(V16:W16)-AA16-S16/2</f>
        <v>-27644.230769230053</v>
      </c>
      <c r="AC16" s="204">
        <f t="shared" si="7"/>
        <v>0</v>
      </c>
      <c r="AD16" s="240">
        <f t="shared" si="8"/>
        <v>40865.384615384617</v>
      </c>
      <c r="AE16" s="240"/>
      <c r="AF16" s="240"/>
      <c r="AG16" s="240">
        <f t="shared" si="9"/>
        <v>40865.384615384617</v>
      </c>
      <c r="AH16" s="243">
        <f t="shared" si="4"/>
        <v>10931490.384615386</v>
      </c>
    </row>
    <row r="17" spans="1:125" ht="15.75" x14ac:dyDescent="0.25">
      <c r="A17" s="237">
        <v>5</v>
      </c>
      <c r="B17" s="238" t="s">
        <v>104</v>
      </c>
      <c r="C17" s="239" t="s">
        <v>105</v>
      </c>
      <c r="D17" s="239" t="s">
        <v>567</v>
      </c>
      <c r="E17" s="240">
        <v>26</v>
      </c>
      <c r="F17" s="240">
        <v>6800000</v>
      </c>
      <c r="G17" s="240">
        <f>'BẢNG CHẤM CÔNG T3'!D102</f>
        <v>9</v>
      </c>
      <c r="H17" s="241">
        <f>'BẢNG CHẤM CÔNG T3'!E102</f>
        <v>15</v>
      </c>
      <c r="I17" s="241">
        <f>'BẢNG CHẤM CÔNG T3'!G102</f>
        <v>0</v>
      </c>
      <c r="J17" s="240">
        <f>'BẢNG CHẤM CÔNG T3'!H102</f>
        <v>0</v>
      </c>
      <c r="K17" s="240">
        <f>'BẢNG CHẤM CÔNG T3'!I102</f>
        <v>0</v>
      </c>
      <c r="L17" s="240">
        <f>'BẢNG CHẤM CÔNG T3'!J102</f>
        <v>0</v>
      </c>
      <c r="M17" s="240">
        <f>'BẢNG CHẤM CÔNG T3'!K102</f>
        <v>0</v>
      </c>
      <c r="N17" s="240">
        <f>'BẢNG CHẤM CÔNG T3'!L102</f>
        <v>0</v>
      </c>
      <c r="O17" s="240">
        <f>'BẢNG CHẤM CÔNG T3'!M102</f>
        <v>0</v>
      </c>
      <c r="P17" s="240"/>
      <c r="Q17" s="240"/>
      <c r="R17" s="240">
        <f t="shared" si="0"/>
        <v>490384.61538461538</v>
      </c>
      <c r="S17" s="240">
        <f t="shared" si="1"/>
        <v>0</v>
      </c>
      <c r="T17" s="240"/>
      <c r="U17" s="242">
        <f t="shared" si="2"/>
        <v>2844230.7692307695</v>
      </c>
      <c r="V17" s="242"/>
      <c r="W17" s="242"/>
      <c r="X17" s="240"/>
      <c r="Y17" s="240">
        <v>11000000</v>
      </c>
      <c r="Z17" s="240">
        <f t="shared" si="5"/>
        <v>0</v>
      </c>
      <c r="AA17" s="240">
        <f t="shared" si="6"/>
        <v>11000000</v>
      </c>
      <c r="AB17" s="240">
        <f t="shared" si="10"/>
        <v>-8155769.2307692301</v>
      </c>
      <c r="AC17" s="204">
        <f t="shared" si="7"/>
        <v>0</v>
      </c>
      <c r="AD17" s="240">
        <f t="shared" si="8"/>
        <v>0</v>
      </c>
      <c r="AE17" s="240"/>
      <c r="AF17" s="240"/>
      <c r="AG17" s="240">
        <f t="shared" si="9"/>
        <v>0</v>
      </c>
      <c r="AH17" s="243">
        <f t="shared" si="4"/>
        <v>2844230.7692307695</v>
      </c>
    </row>
    <row r="18" spans="1:125" s="252" customFormat="1" ht="14.25" customHeight="1" x14ac:dyDescent="0.25">
      <c r="A18" s="237">
        <v>6</v>
      </c>
      <c r="B18" s="244" t="s">
        <v>502</v>
      </c>
      <c r="C18" s="245" t="s">
        <v>504</v>
      </c>
      <c r="D18" s="245" t="s">
        <v>574</v>
      </c>
      <c r="E18" s="240">
        <v>26</v>
      </c>
      <c r="F18" s="240">
        <v>13000000</v>
      </c>
      <c r="G18" s="240">
        <f>'BẢNG CHẤM CÔNG T3'!D103</f>
        <v>25</v>
      </c>
      <c r="H18" s="241">
        <f>'BẢNG CHẤM CÔNG T3'!E103</f>
        <v>0</v>
      </c>
      <c r="I18" s="241">
        <f>'BẢNG CHẤM CÔNG T3'!G103</f>
        <v>0</v>
      </c>
      <c r="J18" s="240">
        <f>'BẢNG CHẤM CÔNG T3'!H103</f>
        <v>0</v>
      </c>
      <c r="K18" s="240">
        <f>'BẢNG CHẤM CÔNG T3'!I103</f>
        <v>0</v>
      </c>
      <c r="L18" s="240">
        <f>'BẢNG CHẤM CÔNG T3'!J103</f>
        <v>0</v>
      </c>
      <c r="M18" s="240">
        <f>'BẢNG CHẤM CÔNG T3'!K103</f>
        <v>0</v>
      </c>
      <c r="N18" s="240">
        <f>'BẢNG CHẤM CÔNG T3'!L103</f>
        <v>0</v>
      </c>
      <c r="O18" s="240">
        <f>'BẢNG CHẤM CÔNG T3'!M103</f>
        <v>1</v>
      </c>
      <c r="P18" s="240"/>
      <c r="Q18" s="240"/>
      <c r="R18" s="240">
        <f t="shared" si="0"/>
        <v>0</v>
      </c>
      <c r="S18" s="240">
        <f t="shared" si="1"/>
        <v>0</v>
      </c>
      <c r="T18" s="244"/>
      <c r="U18" s="242">
        <f t="shared" si="2"/>
        <v>13000000</v>
      </c>
      <c r="V18" s="242"/>
      <c r="W18" s="242"/>
      <c r="X18" s="244">
        <v>1</v>
      </c>
      <c r="Y18" s="240">
        <v>11000000</v>
      </c>
      <c r="Z18" s="240">
        <f t="shared" si="5"/>
        <v>4400000</v>
      </c>
      <c r="AA18" s="240">
        <f t="shared" si="6"/>
        <v>15400000</v>
      </c>
      <c r="AB18" s="240">
        <f t="shared" si="10"/>
        <v>-2400000</v>
      </c>
      <c r="AC18" s="204">
        <f t="shared" si="7"/>
        <v>0</v>
      </c>
      <c r="AD18" s="240">
        <f t="shared" si="8"/>
        <v>0</v>
      </c>
      <c r="AE18" s="244"/>
      <c r="AF18" s="244"/>
      <c r="AG18" s="240">
        <f>V18+W18+SUM(AD18:AF18)</f>
        <v>0</v>
      </c>
      <c r="AH18" s="243">
        <f t="shared" si="4"/>
        <v>13000000</v>
      </c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7"/>
      <c r="BF18" s="246"/>
      <c r="BG18" s="246"/>
      <c r="BH18" s="246"/>
      <c r="BI18" s="248"/>
      <c r="BJ18" s="246"/>
      <c r="BK18" s="246"/>
      <c r="BL18" s="246"/>
      <c r="BM18" s="246"/>
      <c r="BN18" s="246"/>
      <c r="BO18" s="246"/>
      <c r="BP18" s="246"/>
      <c r="BQ18" s="248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6"/>
      <c r="CJ18" s="246"/>
      <c r="CK18" s="246"/>
      <c r="CL18" s="249"/>
      <c r="CM18" s="244"/>
      <c r="CN18" s="244"/>
      <c r="CO18" s="244"/>
      <c r="CP18" s="250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50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51"/>
      <c r="DP18" s="244"/>
      <c r="DQ18" s="244"/>
      <c r="DR18" s="244"/>
      <c r="DS18" s="244"/>
      <c r="DT18" s="244"/>
      <c r="DU18" s="244"/>
    </row>
    <row r="19" spans="1:125" s="252" customFormat="1" ht="15.75" customHeight="1" x14ac:dyDescent="0.25">
      <c r="A19" s="237">
        <v>7</v>
      </c>
      <c r="B19" s="244" t="s">
        <v>503</v>
      </c>
      <c r="C19" s="245" t="s">
        <v>505</v>
      </c>
      <c r="D19" s="245" t="s">
        <v>575</v>
      </c>
      <c r="E19" s="240">
        <v>26</v>
      </c>
      <c r="F19" s="240">
        <v>6800000</v>
      </c>
      <c r="G19" s="240">
        <f>'BẢNG CHẤM CÔNG T3'!D104</f>
        <v>22</v>
      </c>
      <c r="H19" s="241">
        <f>'BẢNG CHẤM CÔNG T3'!E104</f>
        <v>0</v>
      </c>
      <c r="I19" s="241">
        <f>'BẢNG CHẤM CÔNG T3'!G104</f>
        <v>0</v>
      </c>
      <c r="J19" s="240">
        <f>'BẢNG CHẤM CÔNG T3'!H104</f>
        <v>0</v>
      </c>
      <c r="K19" s="240">
        <f>'BẢNG CHẤM CÔNG T3'!I104</f>
        <v>0</v>
      </c>
      <c r="L19" s="240">
        <f>'BẢNG CHẤM CÔNG T3'!J104</f>
        <v>0</v>
      </c>
      <c r="M19" s="240">
        <f>'BẢNG CHẤM CÔNG T3'!K104</f>
        <v>0</v>
      </c>
      <c r="N19" s="240">
        <f>'BẢNG CHẤM CÔNG T3'!L104</f>
        <v>0</v>
      </c>
      <c r="O19" s="240">
        <f>'BẢNG CHẤM CÔNG T3'!M104</f>
        <v>0</v>
      </c>
      <c r="P19" s="240"/>
      <c r="Q19" s="240"/>
      <c r="R19" s="240">
        <f t="shared" si="0"/>
        <v>0</v>
      </c>
      <c r="S19" s="240">
        <f t="shared" si="1"/>
        <v>0</v>
      </c>
      <c r="T19" s="244"/>
      <c r="U19" s="242">
        <f t="shared" si="2"/>
        <v>5753846.153846154</v>
      </c>
      <c r="V19" s="242"/>
      <c r="W19" s="242"/>
      <c r="X19" s="244"/>
      <c r="Y19" s="240">
        <v>11000000</v>
      </c>
      <c r="Z19" s="240">
        <f t="shared" si="5"/>
        <v>0</v>
      </c>
      <c r="AA19" s="240">
        <f t="shared" si="6"/>
        <v>11000000</v>
      </c>
      <c r="AB19" s="240">
        <f t="shared" si="10"/>
        <v>-5246153.846153846</v>
      </c>
      <c r="AC19" s="204">
        <f t="shared" si="7"/>
        <v>0</v>
      </c>
      <c r="AD19" s="240">
        <f t="shared" si="8"/>
        <v>0</v>
      </c>
      <c r="AE19" s="244"/>
      <c r="AF19" s="244"/>
      <c r="AG19" s="240">
        <f t="shared" si="9"/>
        <v>0</v>
      </c>
      <c r="AH19" s="243">
        <f t="shared" si="4"/>
        <v>5753846.153846154</v>
      </c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  <c r="BA19" s="246"/>
      <c r="BB19" s="246"/>
      <c r="BC19" s="246"/>
      <c r="BD19" s="246"/>
      <c r="BE19" s="247"/>
      <c r="BF19" s="246"/>
      <c r="BG19" s="246"/>
      <c r="BH19" s="246"/>
      <c r="BI19" s="248"/>
      <c r="BJ19" s="246"/>
      <c r="BK19" s="246"/>
      <c r="BL19" s="246"/>
      <c r="BM19" s="246"/>
      <c r="BN19" s="246"/>
      <c r="BO19" s="246"/>
      <c r="BP19" s="246"/>
      <c r="BQ19" s="248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9"/>
      <c r="CM19" s="244"/>
      <c r="CN19" s="244"/>
      <c r="CO19" s="244"/>
      <c r="CP19" s="250"/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50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51"/>
      <c r="DP19" s="244"/>
      <c r="DQ19" s="244"/>
      <c r="DR19" s="244"/>
      <c r="DS19" s="244"/>
      <c r="DT19" s="244"/>
      <c r="DU19" s="244"/>
    </row>
    <row r="20" spans="1:125" s="252" customFormat="1" ht="15.75" x14ac:dyDescent="0.25">
      <c r="A20" s="237">
        <v>8</v>
      </c>
      <c r="B20" s="244" t="s">
        <v>561</v>
      </c>
      <c r="C20" s="245" t="s">
        <v>562</v>
      </c>
      <c r="D20" s="245" t="s">
        <v>576</v>
      </c>
      <c r="E20" s="240">
        <v>26</v>
      </c>
      <c r="F20" s="240">
        <v>13000000</v>
      </c>
      <c r="G20" s="240">
        <v>26</v>
      </c>
      <c r="H20" s="241">
        <f>'BẢNG CHẤM CÔNG T3'!E106</f>
        <v>0</v>
      </c>
      <c r="I20" s="241">
        <f>'BẢNG CHẤM CÔNG T3'!G106</f>
        <v>0</v>
      </c>
      <c r="J20" s="240">
        <f>'BẢNG CHẤM CÔNG T3'!H106</f>
        <v>0</v>
      </c>
      <c r="K20" s="240">
        <f>'BẢNG CHẤM CÔNG T3'!I106</f>
        <v>0</v>
      </c>
      <c r="L20" s="240">
        <f>'BẢNG CHẤM CÔNG T3'!J106</f>
        <v>0</v>
      </c>
      <c r="M20" s="240">
        <f>'BẢNG CHẤM CÔNG T3'!K106</f>
        <v>0</v>
      </c>
      <c r="N20" s="240">
        <f>'BẢNG CHẤM CÔNG T3'!L106</f>
        <v>0</v>
      </c>
      <c r="O20" s="240">
        <f>'BẢNG CHẤM CÔNG T3'!M106</f>
        <v>0</v>
      </c>
      <c r="P20" s="240"/>
      <c r="Q20" s="240"/>
      <c r="R20" s="240">
        <f t="shared" si="0"/>
        <v>0</v>
      </c>
      <c r="S20" s="240">
        <f t="shared" si="1"/>
        <v>0</v>
      </c>
      <c r="T20" s="244"/>
      <c r="U20" s="242">
        <f t="shared" si="2"/>
        <v>13000000</v>
      </c>
      <c r="V20" s="242"/>
      <c r="W20" s="242"/>
      <c r="X20" s="244"/>
      <c r="Y20" s="240">
        <v>11000000</v>
      </c>
      <c r="Z20" s="240">
        <f t="shared" si="5"/>
        <v>0</v>
      </c>
      <c r="AA20" s="240">
        <f t="shared" si="6"/>
        <v>11000000</v>
      </c>
      <c r="AB20" s="240">
        <f t="shared" si="10"/>
        <v>2000000</v>
      </c>
      <c r="AC20" s="204">
        <f t="shared" si="7"/>
        <v>100000</v>
      </c>
      <c r="AD20" s="240">
        <f t="shared" si="8"/>
        <v>0</v>
      </c>
      <c r="AE20" s="244"/>
      <c r="AF20" s="244"/>
      <c r="AG20" s="240">
        <f>V20+W20+SUM(AD20:AF20)</f>
        <v>0</v>
      </c>
      <c r="AH20" s="243">
        <f t="shared" si="4"/>
        <v>13000000</v>
      </c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6"/>
      <c r="BA20" s="246"/>
      <c r="BB20" s="246"/>
      <c r="BC20" s="246"/>
      <c r="BD20" s="246"/>
      <c r="BE20" s="247"/>
      <c r="BF20" s="246"/>
      <c r="BG20" s="246"/>
      <c r="BH20" s="246"/>
      <c r="BI20" s="248"/>
      <c r="BJ20" s="246"/>
      <c r="BK20" s="246"/>
      <c r="BL20" s="246"/>
      <c r="BM20" s="246"/>
      <c r="BN20" s="246"/>
      <c r="BO20" s="246"/>
      <c r="BP20" s="246"/>
      <c r="BQ20" s="248"/>
      <c r="BR20" s="246"/>
      <c r="BS20" s="246"/>
      <c r="BT20" s="246"/>
      <c r="BU20" s="246"/>
      <c r="BV20" s="246"/>
      <c r="BW20" s="246"/>
      <c r="BX20" s="246"/>
      <c r="BY20" s="246"/>
      <c r="BZ20" s="246"/>
      <c r="CA20" s="246"/>
      <c r="CB20" s="246"/>
      <c r="CC20" s="246"/>
      <c r="CD20" s="246"/>
      <c r="CE20" s="246"/>
      <c r="CF20" s="246"/>
      <c r="CG20" s="246"/>
      <c r="CH20" s="246"/>
      <c r="CI20" s="246"/>
      <c r="CJ20" s="246"/>
      <c r="CK20" s="246"/>
      <c r="CL20" s="246"/>
      <c r="CM20" s="246"/>
      <c r="CN20" s="246"/>
      <c r="CO20" s="246"/>
      <c r="CP20" s="253"/>
      <c r="CQ20" s="246"/>
      <c r="CR20" s="246"/>
      <c r="CS20" s="246"/>
      <c r="CT20" s="246"/>
      <c r="CU20" s="246"/>
      <c r="CV20" s="246"/>
      <c r="CW20" s="246"/>
      <c r="CX20" s="246"/>
      <c r="CY20" s="246"/>
      <c r="CZ20" s="246"/>
      <c r="DA20" s="246"/>
      <c r="DB20" s="246"/>
      <c r="DC20" s="253"/>
      <c r="DD20" s="246"/>
      <c r="DE20" s="246"/>
      <c r="DF20" s="246"/>
      <c r="DG20" s="246"/>
      <c r="DH20" s="246"/>
      <c r="DI20" s="246"/>
      <c r="DJ20" s="246"/>
      <c r="DK20" s="246"/>
      <c r="DL20" s="246"/>
      <c r="DM20" s="246"/>
      <c r="DN20" s="246"/>
      <c r="DO20" s="247"/>
      <c r="DP20" s="246"/>
      <c r="DQ20" s="246"/>
      <c r="DR20" s="246"/>
      <c r="DS20" s="246"/>
      <c r="DT20" s="246"/>
      <c r="DU20" s="246"/>
    </row>
    <row r="21" spans="1:125" ht="15.75" x14ac:dyDescent="0.25">
      <c r="A21" s="237">
        <v>9</v>
      </c>
      <c r="B21" s="254" t="s">
        <v>534</v>
      </c>
      <c r="C21" s="254" t="s">
        <v>614</v>
      </c>
      <c r="D21" s="254" t="s">
        <v>577</v>
      </c>
      <c r="E21" s="254">
        <v>30</v>
      </c>
      <c r="F21" s="254">
        <v>15000000</v>
      </c>
      <c r="G21" s="254">
        <f>'BẢNG CHẤM CÔNG T3'!D106</f>
        <v>12</v>
      </c>
      <c r="H21" s="255">
        <f>'BẢNG CHẤM CÔNG T3'!E106</f>
        <v>0</v>
      </c>
      <c r="I21" s="255">
        <f>'BẢNG CHẤM CÔNG T3'!G106</f>
        <v>0</v>
      </c>
      <c r="J21" s="254">
        <f>'BẢNG CHẤM CÔNG T3'!H106</f>
        <v>0</v>
      </c>
      <c r="K21" s="254">
        <f>'BẢNG CHẤM CÔNG T3'!I106</f>
        <v>0</v>
      </c>
      <c r="L21" s="254">
        <f>'BẢNG CHẤM CÔNG T3'!J106</f>
        <v>0</v>
      </c>
      <c r="M21" s="254">
        <f>'BẢNG CHẤM CÔNG T3'!K106</f>
        <v>0</v>
      </c>
      <c r="N21" s="254">
        <f>'BẢNG CHẤM CÔNG T3'!L106</f>
        <v>0</v>
      </c>
      <c r="O21" s="254">
        <f>'BẢNG CHẤM CÔNG T3'!M106</f>
        <v>0</v>
      </c>
      <c r="P21" s="254"/>
      <c r="Q21" s="254"/>
      <c r="R21" s="254">
        <f t="shared" si="0"/>
        <v>0</v>
      </c>
      <c r="S21" s="254">
        <f t="shared" si="1"/>
        <v>0</v>
      </c>
      <c r="T21" s="256"/>
      <c r="U21" s="257">
        <f t="shared" si="2"/>
        <v>6000000</v>
      </c>
      <c r="V21" s="257"/>
      <c r="W21" s="257"/>
      <c r="X21" s="256"/>
      <c r="Y21" s="254">
        <v>11000000</v>
      </c>
      <c r="Z21" s="254">
        <f t="shared" si="5"/>
        <v>0</v>
      </c>
      <c r="AA21" s="254">
        <f t="shared" si="6"/>
        <v>11000000</v>
      </c>
      <c r="AB21" s="240">
        <f t="shared" si="10"/>
        <v>-5000000</v>
      </c>
      <c r="AC21" s="204">
        <f t="shared" si="7"/>
        <v>0</v>
      </c>
      <c r="AD21" s="254">
        <f t="shared" si="8"/>
        <v>0</v>
      </c>
      <c r="AE21" s="256"/>
      <c r="AF21" s="256"/>
      <c r="AG21" s="240">
        <f t="shared" si="9"/>
        <v>0</v>
      </c>
      <c r="AH21" s="258">
        <f t="shared" si="4"/>
        <v>6000000</v>
      </c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59"/>
      <c r="CC21" s="259"/>
      <c r="CD21" s="259"/>
      <c r="CE21" s="259"/>
      <c r="CF21" s="259"/>
      <c r="CG21" s="259"/>
      <c r="CH21" s="259"/>
      <c r="CI21" s="259"/>
      <c r="CJ21" s="259"/>
      <c r="CK21" s="259"/>
    </row>
    <row r="22" spans="1:125" x14ac:dyDescent="0.25">
      <c r="A22" s="506" t="s">
        <v>604</v>
      </c>
      <c r="B22" s="506"/>
      <c r="C22" s="506"/>
      <c r="D22" s="506"/>
      <c r="E22" s="240"/>
      <c r="F22" s="242">
        <f>SUBTOTAL(9,F13:F21)</f>
        <v>89600000</v>
      </c>
      <c r="G22" s="242">
        <f t="shared" ref="G22:AH22" si="11">SUBTOTAL(9,G13:G21)</f>
        <v>197</v>
      </c>
      <c r="H22" s="242">
        <f t="shared" si="11"/>
        <v>117.5</v>
      </c>
      <c r="I22" s="242">
        <f t="shared" si="11"/>
        <v>6</v>
      </c>
      <c r="J22" s="242">
        <f t="shared" si="11"/>
        <v>13</v>
      </c>
      <c r="K22" s="242">
        <f t="shared" si="11"/>
        <v>0</v>
      </c>
      <c r="L22" s="242">
        <f t="shared" si="11"/>
        <v>1</v>
      </c>
      <c r="M22" s="242">
        <f t="shared" si="11"/>
        <v>0</v>
      </c>
      <c r="N22" s="242">
        <f t="shared" si="11"/>
        <v>0</v>
      </c>
      <c r="O22" s="242">
        <f t="shared" si="11"/>
        <v>1</v>
      </c>
      <c r="P22" s="242">
        <f t="shared" si="11"/>
        <v>500000</v>
      </c>
      <c r="Q22" s="242">
        <f t="shared" si="11"/>
        <v>500000</v>
      </c>
      <c r="R22" s="242">
        <f t="shared" si="11"/>
        <v>4275240.384615385</v>
      </c>
      <c r="S22" s="242">
        <f t="shared" si="11"/>
        <v>812500</v>
      </c>
      <c r="T22" s="242">
        <f t="shared" si="11"/>
        <v>0</v>
      </c>
      <c r="U22" s="242">
        <f t="shared" si="11"/>
        <v>80945432.692307681</v>
      </c>
      <c r="V22" s="242">
        <f t="shared" si="11"/>
        <v>0</v>
      </c>
      <c r="W22" s="242">
        <f t="shared" si="11"/>
        <v>0</v>
      </c>
      <c r="X22" s="242">
        <f t="shared" si="11"/>
        <v>1</v>
      </c>
      <c r="Y22" s="242">
        <f t="shared" si="11"/>
        <v>99000000</v>
      </c>
      <c r="Z22" s="242">
        <f t="shared" si="11"/>
        <v>4400000</v>
      </c>
      <c r="AA22" s="242">
        <f t="shared" si="11"/>
        <v>103400000</v>
      </c>
      <c r="AB22" s="242">
        <f t="shared" si="11"/>
        <v>-22860817.307692304</v>
      </c>
      <c r="AC22" s="242">
        <f t="shared" si="11"/>
        <v>100000</v>
      </c>
      <c r="AD22" s="242">
        <f t="shared" si="11"/>
        <v>40865.384615384617</v>
      </c>
      <c r="AE22" s="242">
        <f t="shared" si="11"/>
        <v>0</v>
      </c>
      <c r="AF22" s="242">
        <f t="shared" si="11"/>
        <v>0</v>
      </c>
      <c r="AG22" s="242">
        <f>SUBTOTAL(9,AG13:AG21)</f>
        <v>40865.384615384617</v>
      </c>
      <c r="AH22" s="242">
        <f t="shared" si="11"/>
        <v>80904567.307692304</v>
      </c>
    </row>
    <row r="23" spans="1:125" x14ac:dyDescent="0.25">
      <c r="D23" s="260"/>
      <c r="E23" s="246"/>
      <c r="F23" s="261"/>
      <c r="G23" s="262"/>
      <c r="H23" s="263"/>
    </row>
    <row r="24" spans="1:125" x14ac:dyDescent="0.25">
      <c r="D24" s="261"/>
      <c r="E24" s="246"/>
      <c r="F24" s="261"/>
      <c r="G24" s="266"/>
      <c r="H24" s="267"/>
    </row>
    <row r="25" spans="1:125" x14ac:dyDescent="0.25">
      <c r="D25" s="268"/>
      <c r="E25" s="246"/>
      <c r="F25" s="261"/>
      <c r="G25" s="269"/>
      <c r="H25" s="270"/>
    </row>
  </sheetData>
  <mergeCells count="35">
    <mergeCell ref="A3:M3"/>
    <mergeCell ref="A22:D22"/>
    <mergeCell ref="AD9:AF9"/>
    <mergeCell ref="AA9:AA11"/>
    <mergeCell ref="X10:X11"/>
    <mergeCell ref="X9:Z9"/>
    <mergeCell ref="Y10:Y11"/>
    <mergeCell ref="Z10:Z11"/>
    <mergeCell ref="V9:W9"/>
    <mergeCell ref="V10:V11"/>
    <mergeCell ref="W10:W11"/>
    <mergeCell ref="AB9:AB11"/>
    <mergeCell ref="AC9:AC11"/>
    <mergeCell ref="B8:P8"/>
    <mergeCell ref="AH9:AH11"/>
    <mergeCell ref="R10:R11"/>
    <mergeCell ref="B7:P7"/>
    <mergeCell ref="A9:A11"/>
    <mergeCell ref="B9:B11"/>
    <mergeCell ref="C9:C11"/>
    <mergeCell ref="E9:E11"/>
    <mergeCell ref="F9:F11"/>
    <mergeCell ref="G9:O9"/>
    <mergeCell ref="D9:D11"/>
    <mergeCell ref="P9:Q10"/>
    <mergeCell ref="G10:I10"/>
    <mergeCell ref="K10:O10"/>
    <mergeCell ref="S10:S11"/>
    <mergeCell ref="R9:S9"/>
    <mergeCell ref="U9:U11"/>
    <mergeCell ref="AG9:AG11"/>
    <mergeCell ref="AD10:AD11"/>
    <mergeCell ref="AE10:AE11"/>
    <mergeCell ref="AF10:AF11"/>
    <mergeCell ref="T9:T11"/>
  </mergeCells>
  <conditionalFormatting sqref="B15:D17">
    <cfRule type="expression" dxfId="9" priority="1">
      <formula>$O15&lt;&gt;""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1F7237B-23B3-4601-B9FE-7B1B5C61B06D}">
            <xm:f>AND(TODAY()-$K15&gt;=90,$N15='\PHỤNG\CHẤM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B15:D17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67EA2-480E-4699-88A8-9707B41938A0}">
  <sheetPr>
    <tabColor theme="5" tint="0.79998168889431442"/>
  </sheetPr>
  <dimension ref="A1:AD29"/>
  <sheetViews>
    <sheetView tabSelected="1" zoomScale="80" zoomScaleNormal="80" workbookViewId="0">
      <selection activeCell="H24" sqref="H24"/>
    </sheetView>
  </sheetViews>
  <sheetFormatPr defaultRowHeight="15" x14ac:dyDescent="0.25"/>
  <cols>
    <col min="1" max="1" width="6.140625" customWidth="1"/>
    <col min="2" max="2" width="19.42578125" customWidth="1"/>
    <col min="3" max="3" width="13.42578125" customWidth="1"/>
    <col min="4" max="4" width="15.5703125" customWidth="1"/>
    <col min="5" max="5" width="7.42578125" customWidth="1"/>
    <col min="6" max="6" width="12.85546875" customWidth="1"/>
    <col min="7" max="7" width="10" customWidth="1"/>
    <col min="8" max="10" width="14.140625" customWidth="1"/>
    <col min="11" max="11" width="11" customWidth="1"/>
    <col min="12" max="17" width="15.140625" customWidth="1"/>
    <col min="18" max="18" width="17.140625" style="151" customWidth="1"/>
    <col min="19" max="19" width="12.28515625" customWidth="1"/>
    <col min="20" max="20" width="9.28515625" customWidth="1"/>
    <col min="21" max="21" width="12.28515625" customWidth="1"/>
    <col min="22" max="22" width="15.28515625" customWidth="1"/>
    <col min="23" max="23" width="27.42578125" customWidth="1"/>
    <col min="24" max="24" width="11" customWidth="1"/>
    <col min="25" max="30" width="13.28515625" customWidth="1"/>
  </cols>
  <sheetData>
    <row r="1" spans="1:30" ht="15.75" x14ac:dyDescent="0.25">
      <c r="B1" s="156" t="s">
        <v>545</v>
      </c>
      <c r="C1" s="155"/>
      <c r="D1" s="155"/>
      <c r="E1" s="155"/>
      <c r="F1" s="155"/>
      <c r="G1" s="155"/>
      <c r="H1" s="157"/>
      <c r="I1" s="157"/>
      <c r="J1" s="157"/>
      <c r="K1" s="157"/>
      <c r="L1" s="155"/>
      <c r="M1" s="155"/>
      <c r="N1" s="155"/>
      <c r="O1" s="155"/>
      <c r="P1" s="155"/>
      <c r="Q1" s="155"/>
      <c r="R1" s="294"/>
      <c r="S1" s="157"/>
      <c r="T1" s="157"/>
      <c r="U1" s="157"/>
      <c r="V1" s="155"/>
      <c r="W1" s="155"/>
    </row>
    <row r="2" spans="1:30" ht="15.75" x14ac:dyDescent="0.25">
      <c r="A2" s="155"/>
      <c r="B2" s="158" t="s">
        <v>546</v>
      </c>
      <c r="C2" s="155"/>
      <c r="D2" s="155"/>
      <c r="E2" s="155"/>
      <c r="F2" s="155"/>
      <c r="G2" s="155"/>
      <c r="H2" s="157"/>
      <c r="I2" s="157"/>
      <c r="J2" s="157"/>
      <c r="K2" s="157"/>
      <c r="L2" s="155"/>
      <c r="M2" s="155"/>
      <c r="N2" s="155"/>
      <c r="O2" s="155"/>
      <c r="P2" s="155"/>
      <c r="Q2" s="155"/>
      <c r="R2" s="294"/>
      <c r="S2" s="157"/>
      <c r="T2" s="157"/>
      <c r="U2" s="157"/>
      <c r="V2" s="155"/>
      <c r="W2" s="155"/>
      <c r="Y2" s="274">
        <v>5000000</v>
      </c>
      <c r="Z2" s="274">
        <v>10000000</v>
      </c>
      <c r="AA2" s="274">
        <v>8000000</v>
      </c>
      <c r="AB2" s="274">
        <v>18000000</v>
      </c>
      <c r="AC2" s="274">
        <v>32000000</v>
      </c>
      <c r="AD2" s="274">
        <v>52000000</v>
      </c>
    </row>
    <row r="3" spans="1:30" ht="15.75" x14ac:dyDescent="0.25">
      <c r="A3" s="155"/>
      <c r="B3" s="159"/>
      <c r="C3" s="155"/>
      <c r="D3" s="155"/>
      <c r="E3" s="155"/>
      <c r="F3" s="155"/>
      <c r="G3" s="155"/>
      <c r="H3" s="157"/>
      <c r="I3" s="157"/>
      <c r="J3" s="157"/>
      <c r="K3" s="157"/>
      <c r="L3" s="155"/>
      <c r="M3" s="155"/>
      <c r="N3" s="155"/>
      <c r="O3" s="155"/>
      <c r="P3" s="155"/>
      <c r="Q3" s="155"/>
      <c r="R3" s="294"/>
      <c r="S3" s="157"/>
      <c r="T3" s="157"/>
      <c r="U3" s="157"/>
      <c r="V3" s="155"/>
      <c r="W3" s="155"/>
      <c r="Y3">
        <v>0.05</v>
      </c>
      <c r="Z3">
        <v>0.1</v>
      </c>
      <c r="AA3">
        <v>0.15</v>
      </c>
      <c r="AB3">
        <v>0.2</v>
      </c>
      <c r="AC3">
        <v>0.25</v>
      </c>
      <c r="AD3">
        <v>0.3</v>
      </c>
    </row>
    <row r="4" spans="1:30" ht="15.75" x14ac:dyDescent="0.25">
      <c r="A4" s="426" t="s">
        <v>590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</row>
    <row r="5" spans="1:30" ht="15.75" x14ac:dyDescent="0.25">
      <c r="A5" s="427" t="s">
        <v>589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Y5" s="185"/>
      <c r="Z5" s="185"/>
    </row>
    <row r="6" spans="1:30" ht="27.6" customHeight="1" x14ac:dyDescent="0.25">
      <c r="A6" s="523" t="s">
        <v>15</v>
      </c>
      <c r="B6" s="432" t="s">
        <v>547</v>
      </c>
      <c r="C6" s="432" t="s">
        <v>548</v>
      </c>
      <c r="D6" s="524" t="s">
        <v>549</v>
      </c>
      <c r="E6" s="432" t="s">
        <v>559</v>
      </c>
      <c r="F6" s="524" t="s">
        <v>550</v>
      </c>
      <c r="G6" s="432" t="s">
        <v>551</v>
      </c>
      <c r="H6" s="432" t="s">
        <v>550</v>
      </c>
      <c r="I6" s="432" t="s">
        <v>552</v>
      </c>
      <c r="J6" s="432" t="s">
        <v>616</v>
      </c>
      <c r="K6" s="432"/>
      <c r="L6" s="432" t="s">
        <v>554</v>
      </c>
      <c r="M6" s="496" t="s">
        <v>610</v>
      </c>
      <c r="N6" s="525" t="s">
        <v>592</v>
      </c>
      <c r="O6" s="525"/>
      <c r="P6" s="525" t="s">
        <v>525</v>
      </c>
      <c r="Q6" s="525" t="s">
        <v>593</v>
      </c>
      <c r="R6" s="526" t="s">
        <v>612</v>
      </c>
      <c r="S6" s="432" t="s">
        <v>553</v>
      </c>
      <c r="T6" s="432"/>
      <c r="U6" s="432" t="s">
        <v>609</v>
      </c>
      <c r="V6" s="432" t="s">
        <v>512</v>
      </c>
      <c r="W6" s="432" t="s">
        <v>556</v>
      </c>
    </row>
    <row r="7" spans="1:30" ht="57" x14ac:dyDescent="0.25">
      <c r="A7" s="523"/>
      <c r="B7" s="432"/>
      <c r="C7" s="432"/>
      <c r="D7" s="524"/>
      <c r="E7" s="432"/>
      <c r="F7" s="524"/>
      <c r="G7" s="432"/>
      <c r="H7" s="432"/>
      <c r="I7" s="432"/>
      <c r="J7" s="193" t="s">
        <v>600</v>
      </c>
      <c r="K7" s="193" t="s">
        <v>601</v>
      </c>
      <c r="L7" s="432"/>
      <c r="M7" s="496"/>
      <c r="N7" s="191" t="s">
        <v>595</v>
      </c>
      <c r="O7" s="191" t="s">
        <v>596</v>
      </c>
      <c r="P7" s="525"/>
      <c r="Q7" s="525"/>
      <c r="R7" s="526"/>
      <c r="S7" s="272" t="s">
        <v>555</v>
      </c>
      <c r="T7" s="189" t="s">
        <v>613</v>
      </c>
      <c r="U7" s="432"/>
      <c r="V7" s="432"/>
      <c r="W7" s="432"/>
    </row>
    <row r="8" spans="1:30" ht="15.75" x14ac:dyDescent="0.25">
      <c r="A8" s="161">
        <v>1</v>
      </c>
      <c r="B8" s="189">
        <v>2</v>
      </c>
      <c r="C8" s="161">
        <v>3</v>
      </c>
      <c r="D8" s="189">
        <v>4</v>
      </c>
      <c r="E8" s="161">
        <v>5</v>
      </c>
      <c r="F8" s="189">
        <v>6</v>
      </c>
      <c r="G8" s="161">
        <v>7</v>
      </c>
      <c r="H8" s="189">
        <v>8</v>
      </c>
      <c r="I8" s="161">
        <v>9</v>
      </c>
      <c r="J8" s="189">
        <v>10</v>
      </c>
      <c r="K8" s="161">
        <v>11</v>
      </c>
      <c r="L8" s="189">
        <v>12</v>
      </c>
      <c r="M8" s="161">
        <v>13</v>
      </c>
      <c r="N8" s="189">
        <v>14</v>
      </c>
      <c r="O8" s="161">
        <v>15</v>
      </c>
      <c r="P8" s="189">
        <v>16</v>
      </c>
      <c r="Q8" s="161">
        <v>17</v>
      </c>
      <c r="R8" s="295">
        <v>18</v>
      </c>
      <c r="S8" s="161">
        <v>19</v>
      </c>
      <c r="T8" s="189">
        <v>20</v>
      </c>
      <c r="U8" s="161">
        <v>21</v>
      </c>
      <c r="V8" s="189">
        <v>22</v>
      </c>
      <c r="W8" s="161">
        <v>23</v>
      </c>
    </row>
    <row r="9" spans="1:30" ht="15.75" x14ac:dyDescent="0.25">
      <c r="A9" s="161">
        <v>1</v>
      </c>
      <c r="B9" s="162" t="s">
        <v>535</v>
      </c>
      <c r="C9" s="162" t="s">
        <v>536</v>
      </c>
      <c r="D9" s="163">
        <v>5000000</v>
      </c>
      <c r="E9" s="163">
        <v>26</v>
      </c>
      <c r="F9" s="163">
        <f>+D9/26</f>
        <v>192307.69230769231</v>
      </c>
      <c r="G9" s="164">
        <v>26</v>
      </c>
      <c r="H9" s="163">
        <f>+D9/E9*G9</f>
        <v>5000000</v>
      </c>
      <c r="I9" s="163">
        <v>0</v>
      </c>
      <c r="J9" s="163">
        <v>0</v>
      </c>
      <c r="K9" s="163">
        <v>0</v>
      </c>
      <c r="L9" s="165">
        <f>H9+I9-K9-J9</f>
        <v>5000000</v>
      </c>
      <c r="M9" s="165"/>
      <c r="N9" s="165">
        <v>11000000</v>
      </c>
      <c r="O9" s="165">
        <f>M9*4400000</f>
        <v>0</v>
      </c>
      <c r="P9" s="165">
        <f>O9+N9+J9</f>
        <v>11000000</v>
      </c>
      <c r="Q9" s="165">
        <f>L9-P9</f>
        <v>-6000000</v>
      </c>
      <c r="R9" s="296">
        <f>IF($A9="",0,IF(Q9&lt;=0,0,IF(Q9&lt;=5000000,Q9*$Y$3,IF(Q9&lt;=10000000,$Y$2*$Y$3+(Q9-$Y$2)*$Z$3,IF(Q9&lt;18000000,$Y$2*$Y$3+$Y$2*$Z$3+(Q9-$Z$2)*$AA$3,IF(Q9&lt;=32000000,$Y$2*$Y$3+$Y$2*$Z$3+$AA$2*$AA$3+(Q9-$AB$2)*$AC$3))))))</f>
        <v>0</v>
      </c>
      <c r="S9" s="166">
        <v>0</v>
      </c>
      <c r="T9" s="166"/>
      <c r="U9" s="166">
        <f>J9+K9+T9+S9</f>
        <v>0</v>
      </c>
      <c r="V9" s="167">
        <f>L9-S9</f>
        <v>5000000</v>
      </c>
      <c r="W9" s="168"/>
    </row>
    <row r="10" spans="1:30" ht="15.75" x14ac:dyDescent="0.25">
      <c r="A10" s="161">
        <v>2</v>
      </c>
      <c r="B10" s="162" t="s">
        <v>537</v>
      </c>
      <c r="C10" s="162" t="s">
        <v>538</v>
      </c>
      <c r="D10" s="163">
        <v>20000000</v>
      </c>
      <c r="E10" s="163">
        <v>26</v>
      </c>
      <c r="F10" s="163">
        <f t="shared" ref="F10:F13" si="0">+D10/26</f>
        <v>769230.76923076925</v>
      </c>
      <c r="G10" s="164">
        <v>26</v>
      </c>
      <c r="H10" s="163">
        <f t="shared" ref="H10:H13" si="1">+D10/E10*G10</f>
        <v>20000000</v>
      </c>
      <c r="I10" s="163">
        <v>0</v>
      </c>
      <c r="J10" s="163">
        <v>0</v>
      </c>
      <c r="K10" s="163">
        <v>0</v>
      </c>
      <c r="L10" s="165">
        <f>H10+I10-K10-J10</f>
        <v>20000000</v>
      </c>
      <c r="M10" s="165">
        <v>2</v>
      </c>
      <c r="N10" s="165">
        <v>11000000</v>
      </c>
      <c r="O10" s="165">
        <f>M10*4400000</f>
        <v>8800000</v>
      </c>
      <c r="P10" s="165">
        <f t="shared" ref="P10:P13" si="2">O10+N10+J10</f>
        <v>19800000</v>
      </c>
      <c r="Q10" s="165">
        <f t="shared" ref="Q10:Q13" si="3">L10-P10</f>
        <v>200000</v>
      </c>
      <c r="R10" s="296">
        <f>IF($A10="",0,IF(Q10&lt;=0,0,IF(Q10&lt;=5000000,Q10*$Y$3,IF(Q10&lt;=10000000,$Y$2*$Y$3+(Q10-$Y$2)*$Z$3,IF(Q10&lt;18000000,$Y$2*$Y$3+$Y$2*$Z$3+(Q10-$Z$2)*$AA$3,IF(Q10&lt;=32000000,$Y$2*$Y$3+$Y$2*$Z$3+$AA$2*$AA$3+(Q10-$AB$2)*$AC$3))))))</f>
        <v>10000</v>
      </c>
      <c r="S10" s="166">
        <v>0</v>
      </c>
      <c r="T10" s="166"/>
      <c r="U10" s="166">
        <f t="shared" ref="U10:U13" si="4">J10+K10+T10+S10</f>
        <v>0</v>
      </c>
      <c r="V10" s="167">
        <f t="shared" ref="V10:V13" si="5">L10-S10</f>
        <v>20000000</v>
      </c>
      <c r="W10" s="168"/>
    </row>
    <row r="11" spans="1:30" ht="15.75" x14ac:dyDescent="0.25">
      <c r="A11" s="161">
        <v>3</v>
      </c>
      <c r="B11" s="162" t="s">
        <v>539</v>
      </c>
      <c r="C11" s="162" t="s">
        <v>540</v>
      </c>
      <c r="D11" s="163">
        <v>20000000</v>
      </c>
      <c r="E11" s="163">
        <v>26</v>
      </c>
      <c r="F11" s="163">
        <f t="shared" si="0"/>
        <v>769230.76923076925</v>
      </c>
      <c r="G11" s="164">
        <v>26</v>
      </c>
      <c r="H11" s="163">
        <f t="shared" si="1"/>
        <v>20000000</v>
      </c>
      <c r="I11" s="163">
        <v>0</v>
      </c>
      <c r="J11" s="163">
        <v>0</v>
      </c>
      <c r="K11" s="163">
        <v>0</v>
      </c>
      <c r="L11" s="165">
        <f>H11+I11-K11-J11</f>
        <v>20000000</v>
      </c>
      <c r="M11" s="165">
        <v>2</v>
      </c>
      <c r="N11" s="165"/>
      <c r="O11" s="165">
        <f t="shared" ref="O11:O13" si="6">M11*4400000</f>
        <v>8800000</v>
      </c>
      <c r="P11" s="165">
        <f t="shared" si="2"/>
        <v>8800000</v>
      </c>
      <c r="Q11" s="165">
        <f t="shared" si="3"/>
        <v>11200000</v>
      </c>
      <c r="R11" s="296">
        <f>IF($A11="",0,IF(Q11&lt;=0,0,IF(Q11&lt;=5000000,Q11*$Y$3,IF(Q11&lt;=10000000,$Y$2*$Y$3+(Q11-$Y$2)*$Z$3,IF(Q11&lt;18000000,$Y$2*$Y$3+$Y$2*$Z$3+(Q11-$Z$2)*$AA$3,IF(Q11&lt;=32000000,$Y$2*$Y$3+$Y$2*$Z$3+$AA$2*$AA$3+(Q11-$AB$2)*$AC$3))))))</f>
        <v>930000</v>
      </c>
      <c r="S11" s="166">
        <v>0</v>
      </c>
      <c r="T11" s="166"/>
      <c r="U11" s="166">
        <f t="shared" si="4"/>
        <v>0</v>
      </c>
      <c r="V11" s="167">
        <f t="shared" si="5"/>
        <v>20000000</v>
      </c>
      <c r="W11" s="168" t="s">
        <v>611</v>
      </c>
    </row>
    <row r="12" spans="1:30" ht="15.75" x14ac:dyDescent="0.25">
      <c r="A12" s="161">
        <v>4</v>
      </c>
      <c r="B12" s="162" t="s">
        <v>541</v>
      </c>
      <c r="C12" s="162" t="s">
        <v>542</v>
      </c>
      <c r="D12" s="163">
        <v>15000000</v>
      </c>
      <c r="E12" s="163">
        <v>26</v>
      </c>
      <c r="F12" s="163">
        <f t="shared" si="0"/>
        <v>576923.07692307688</v>
      </c>
      <c r="G12" s="164">
        <v>26</v>
      </c>
      <c r="H12" s="163">
        <f t="shared" si="1"/>
        <v>14999999.999999998</v>
      </c>
      <c r="I12" s="163">
        <v>0</v>
      </c>
      <c r="J12" s="163">
        <v>0</v>
      </c>
      <c r="K12" s="163">
        <v>0</v>
      </c>
      <c r="L12" s="165">
        <f>H12+I12-K12-J12</f>
        <v>14999999.999999998</v>
      </c>
      <c r="M12" s="165"/>
      <c r="N12" s="165">
        <v>11000000</v>
      </c>
      <c r="O12" s="165">
        <f t="shared" si="6"/>
        <v>0</v>
      </c>
      <c r="P12" s="165">
        <f t="shared" si="2"/>
        <v>11000000</v>
      </c>
      <c r="Q12" s="165">
        <f t="shared" si="3"/>
        <v>3999999.9999999981</v>
      </c>
      <c r="R12" s="296">
        <f>IF($A12="",0,IF(Q12&lt;=0,0,IF(Q12&lt;=5000000,Q12*$Y$3,IF(Q12&lt;=10000000,$Y$2*$Y$3+(Q12-$Y$2)*$Z$3,IF(Q12&lt;18000000,$Y$2*$Y$3+$Y$2*$Z$3+(Q12-$Z$2)*$AA$3,IF(Q12&lt;=32000000,$Y$2*$Y$3+$Y$2*$Z$3+$AA$2*$AA$3+(Q12-$AB$2)*$AC$3))))))</f>
        <v>199999.99999999991</v>
      </c>
      <c r="S12" s="166"/>
      <c r="T12" s="166"/>
      <c r="U12" s="166">
        <f t="shared" si="4"/>
        <v>0</v>
      </c>
      <c r="V12" s="167">
        <f t="shared" si="5"/>
        <v>14999999.999999998</v>
      </c>
      <c r="W12" s="168"/>
    </row>
    <row r="13" spans="1:30" ht="15.75" x14ac:dyDescent="0.25">
      <c r="A13" s="161">
        <v>5</v>
      </c>
      <c r="B13" s="162" t="s">
        <v>543</v>
      </c>
      <c r="C13" s="162" t="s">
        <v>591</v>
      </c>
      <c r="D13" s="163">
        <v>15000000</v>
      </c>
      <c r="E13" s="163">
        <v>26</v>
      </c>
      <c r="F13" s="163">
        <f t="shared" si="0"/>
        <v>576923.07692307688</v>
      </c>
      <c r="G13" s="164">
        <v>26</v>
      </c>
      <c r="H13" s="163">
        <f t="shared" si="1"/>
        <v>14999999.999999998</v>
      </c>
      <c r="I13" s="163">
        <v>0</v>
      </c>
      <c r="J13" s="163">
        <v>0</v>
      </c>
      <c r="K13" s="163">
        <v>0</v>
      </c>
      <c r="L13" s="165">
        <f>H13+I13-K13-J13</f>
        <v>14999999.999999998</v>
      </c>
      <c r="M13" s="165"/>
      <c r="N13" s="165">
        <v>11000000</v>
      </c>
      <c r="O13" s="165">
        <f t="shared" si="6"/>
        <v>0</v>
      </c>
      <c r="P13" s="165">
        <f t="shared" si="2"/>
        <v>11000000</v>
      </c>
      <c r="Q13" s="165">
        <f t="shared" si="3"/>
        <v>3999999.9999999981</v>
      </c>
      <c r="R13" s="296">
        <f>IF($A13="",0,IF(Q13&lt;=0,0,IF(Q13&lt;=5000000,Q13*$Y$3,IF(Q13&lt;=10000000,$Y$2*$Y$3+(Q13-$Y$2)*$Z$3,IF(Q13&lt;18000000,$Y$2*$Y$3+$Y$2*$Z$3+(Q13-$Z$2)*$AA$3,IF(Q13&lt;=32000000,$Y$2*$Y$3+$Y$2*$Z$3+$AA$2*$AA$3+(Q13-$AB$2)*$AC$3))))))</f>
        <v>199999.99999999991</v>
      </c>
      <c r="S13" s="166">
        <v>0</v>
      </c>
      <c r="T13" s="166"/>
      <c r="U13" s="166">
        <f t="shared" si="4"/>
        <v>0</v>
      </c>
      <c r="V13" s="167">
        <f t="shared" si="5"/>
        <v>14999999.999999998</v>
      </c>
      <c r="W13" s="168" t="s">
        <v>560</v>
      </c>
      <c r="X13" s="151">
        <v>3000000</v>
      </c>
    </row>
    <row r="14" spans="1:30" ht="15.75" x14ac:dyDescent="0.25">
      <c r="A14" s="169"/>
      <c r="B14" s="170" t="s">
        <v>687</v>
      </c>
      <c r="C14" s="170"/>
      <c r="D14" s="171">
        <f>SUBTOTAL(9,D9:D13)</f>
        <v>75000000</v>
      </c>
      <c r="E14" s="171"/>
      <c r="F14" s="171">
        <f>SUBTOTAL(9,F9:F13)</f>
        <v>2884615.3846153845</v>
      </c>
      <c r="G14" s="171">
        <f>SUBTOTAL(9,G9:G13)</f>
        <v>130</v>
      </c>
      <c r="H14" s="171">
        <f>SUM(H9:H13)</f>
        <v>75000000</v>
      </c>
      <c r="I14" s="171">
        <f t="shared" ref="I14:V14" si="7">SUBTOTAL(9,I9:I13)</f>
        <v>0</v>
      </c>
      <c r="J14" s="171">
        <f t="shared" si="7"/>
        <v>0</v>
      </c>
      <c r="K14" s="171">
        <f t="shared" si="7"/>
        <v>0</v>
      </c>
      <c r="L14" s="171">
        <f t="shared" si="7"/>
        <v>75000000</v>
      </c>
      <c r="M14" s="171">
        <f t="shared" si="7"/>
        <v>4</v>
      </c>
      <c r="N14" s="171">
        <f t="shared" si="7"/>
        <v>44000000</v>
      </c>
      <c r="O14" s="171">
        <f t="shared" si="7"/>
        <v>17600000</v>
      </c>
      <c r="P14" s="171">
        <f t="shared" si="7"/>
        <v>61600000</v>
      </c>
      <c r="Q14" s="171">
        <f t="shared" si="7"/>
        <v>13399999.999999996</v>
      </c>
      <c r="R14" s="297">
        <f t="shared" si="7"/>
        <v>1340000</v>
      </c>
      <c r="S14" s="171">
        <f t="shared" si="7"/>
        <v>0</v>
      </c>
      <c r="T14" s="171">
        <f t="shared" si="7"/>
        <v>0</v>
      </c>
      <c r="U14" s="171">
        <f t="shared" si="7"/>
        <v>0</v>
      </c>
      <c r="V14" s="171">
        <f t="shared" si="7"/>
        <v>75000000</v>
      </c>
      <c r="W14" s="175"/>
    </row>
    <row r="15" spans="1:30" ht="15.75" x14ac:dyDescent="0.25">
      <c r="A15" s="178"/>
      <c r="B15" s="162" t="s">
        <v>689</v>
      </c>
      <c r="C15" s="178"/>
      <c r="D15" s="178"/>
      <c r="E15" s="178"/>
      <c r="F15" s="178"/>
      <c r="G15" s="271"/>
      <c r="H15" s="171"/>
      <c r="I15" s="178"/>
      <c r="J15" s="178"/>
      <c r="K15" s="178"/>
      <c r="L15" s="178"/>
      <c r="M15" s="178"/>
      <c r="N15" s="178"/>
      <c r="O15" s="178"/>
      <c r="P15" s="178"/>
      <c r="Q15" s="178"/>
      <c r="R15" s="281">
        <f>'SẢN XUẤTmới'!AP97</f>
        <v>89356.971153846214</v>
      </c>
      <c r="S15" s="178"/>
      <c r="T15" s="178"/>
      <c r="U15" s="178"/>
      <c r="V15" s="171">
        <f>+'SẢN XUẤT cũ'!AN3</f>
        <v>554116575.32051277</v>
      </c>
      <c r="W15" s="178"/>
    </row>
    <row r="16" spans="1:30" ht="15.75" x14ac:dyDescent="0.25">
      <c r="A16" s="178"/>
      <c r="B16" s="162" t="s">
        <v>688</v>
      </c>
      <c r="C16" s="178"/>
      <c r="D16" s="178"/>
      <c r="E16" s="178"/>
      <c r="F16" s="178"/>
      <c r="G16" s="271"/>
      <c r="H16" s="171"/>
      <c r="I16" s="178"/>
      <c r="J16" s="178"/>
      <c r="K16" s="178"/>
      <c r="L16" s="178"/>
      <c r="M16" s="178"/>
      <c r="N16" s="178"/>
      <c r="O16" s="178"/>
      <c r="P16" s="178"/>
      <c r="Q16" s="178"/>
      <c r="R16" s="281">
        <f>'VĂN PHÒNG'!AC22</f>
        <v>100000</v>
      </c>
      <c r="S16" s="178"/>
      <c r="T16" s="178"/>
      <c r="U16" s="178"/>
      <c r="V16" s="171">
        <f>'VĂN PHÒNG'!AH22</f>
        <v>80904567.307692304</v>
      </c>
      <c r="W16" s="178"/>
    </row>
    <row r="17" spans="1:23" ht="15.75" x14ac:dyDescent="0.25">
      <c r="A17" s="178"/>
      <c r="B17" s="162" t="s">
        <v>690</v>
      </c>
      <c r="C17" s="178"/>
      <c r="D17" s="178"/>
      <c r="E17" s="178"/>
      <c r="F17" s="178"/>
      <c r="G17" s="178"/>
      <c r="H17" s="179"/>
      <c r="I17" s="178"/>
      <c r="J17" s="178"/>
      <c r="K17" s="178"/>
      <c r="L17" s="178"/>
      <c r="M17" s="178"/>
      <c r="N17" s="178"/>
      <c r="O17" s="178"/>
      <c r="P17" s="178"/>
      <c r="Q17" s="178"/>
      <c r="R17" s="179">
        <f>+SUM(R14:R16)</f>
        <v>1529356.9711538462</v>
      </c>
      <c r="S17" s="178"/>
      <c r="T17" s="178"/>
      <c r="U17" s="178"/>
      <c r="V17" s="179">
        <f>+SUM(V14:V16)</f>
        <v>710021142.62820506</v>
      </c>
      <c r="W17" s="178"/>
    </row>
    <row r="21" spans="1:23" x14ac:dyDescent="0.25">
      <c r="S21" s="186"/>
      <c r="T21" s="186"/>
      <c r="U21" s="186"/>
    </row>
    <row r="26" spans="1:23" x14ac:dyDescent="0.25">
      <c r="J26" s="151"/>
    </row>
    <row r="27" spans="1:23" x14ac:dyDescent="0.25">
      <c r="J27" s="151"/>
    </row>
    <row r="28" spans="1:23" x14ac:dyDescent="0.25">
      <c r="J28" s="151"/>
    </row>
    <row r="29" spans="1:23" x14ac:dyDescent="0.25">
      <c r="J29" s="185"/>
      <c r="L29" s="187"/>
      <c r="M29" s="187"/>
      <c r="N29" s="187"/>
      <c r="O29" s="187"/>
      <c r="P29" s="187"/>
      <c r="Q29" s="187"/>
    </row>
  </sheetData>
  <mergeCells count="22">
    <mergeCell ref="Q6:Q7"/>
    <mergeCell ref="R6:R7"/>
    <mergeCell ref="I6:I7"/>
    <mergeCell ref="J6:K6"/>
    <mergeCell ref="L6:L7"/>
    <mergeCell ref="M6:M7"/>
    <mergeCell ref="A4:W4"/>
    <mergeCell ref="A5:W5"/>
    <mergeCell ref="A6:A7"/>
    <mergeCell ref="B6:B7"/>
    <mergeCell ref="C6:C7"/>
    <mergeCell ref="D6:D7"/>
    <mergeCell ref="E6:E7"/>
    <mergeCell ref="F6:F7"/>
    <mergeCell ref="G6:G7"/>
    <mergeCell ref="H6:H7"/>
    <mergeCell ref="V6:V7"/>
    <mergeCell ref="W6:W7"/>
    <mergeCell ref="S6:T6"/>
    <mergeCell ref="U6:U7"/>
    <mergeCell ref="N6:O6"/>
    <mergeCell ref="P6:P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B1B4-371B-456A-952B-C8E407652547}">
  <sheetPr>
    <tabColor theme="5" tint="0.79998168889431442"/>
  </sheetPr>
  <dimension ref="A2:R116"/>
  <sheetViews>
    <sheetView zoomScale="80" zoomScaleNormal="80" workbookViewId="0">
      <pane xSplit="3" ySplit="7" topLeftCell="D88" activePane="bottomRight" state="frozen"/>
      <selection pane="topRight" activeCell="D1" sqref="D1"/>
      <selection pane="bottomLeft" activeCell="A8" sqref="A8"/>
      <selection pane="bottomRight" activeCell="M114" sqref="M114"/>
    </sheetView>
  </sheetViews>
  <sheetFormatPr defaultColWidth="9.140625" defaultRowHeight="15" x14ac:dyDescent="0.25"/>
  <cols>
    <col min="1" max="1" width="7.140625" style="119" customWidth="1"/>
    <col min="2" max="2" width="15.28515625" style="119" customWidth="1"/>
    <col min="3" max="3" width="26.85546875" style="119" customWidth="1"/>
    <col min="4" max="4" width="14.7109375" style="119" bestFit="1" customWidth="1"/>
    <col min="5" max="9" width="14.7109375" style="119" customWidth="1"/>
    <col min="10" max="11" width="16.42578125" style="119" customWidth="1"/>
    <col min="12" max="12" width="14.7109375" style="119" customWidth="1"/>
    <col min="13" max="13" width="14" style="119" customWidth="1"/>
    <col min="14" max="14" width="11.42578125" style="119" bestFit="1" customWidth="1"/>
    <col min="15" max="15" width="10.85546875" style="119" bestFit="1" customWidth="1"/>
    <col min="16" max="16" width="11.42578125" style="119" bestFit="1" customWidth="1"/>
    <col min="17" max="18" width="11.5703125" style="119" bestFit="1" customWidth="1"/>
    <col min="19" max="16384" width="9.140625" style="119"/>
  </cols>
  <sheetData>
    <row r="2" spans="1:18" ht="25.5" x14ac:dyDescent="0.2">
      <c r="A2" s="483" t="s">
        <v>533</v>
      </c>
      <c r="B2" s="483"/>
      <c r="C2" s="483"/>
      <c r="M2" s="275">
        <v>5000000</v>
      </c>
      <c r="N2" s="275">
        <v>10000000</v>
      </c>
      <c r="O2" s="275">
        <v>8000000</v>
      </c>
      <c r="P2" s="275">
        <v>18000000</v>
      </c>
      <c r="Q2" s="275">
        <v>32000000</v>
      </c>
      <c r="R2" s="275">
        <v>52000000</v>
      </c>
    </row>
    <row r="3" spans="1:18" x14ac:dyDescent="0.2">
      <c r="M3" s="278">
        <v>0.05</v>
      </c>
      <c r="N3" s="278">
        <v>0.1</v>
      </c>
      <c r="O3" s="278">
        <v>0.15</v>
      </c>
      <c r="P3" s="278">
        <v>0.2</v>
      </c>
      <c r="Q3" s="278">
        <v>0.25</v>
      </c>
      <c r="R3" s="278">
        <v>0.3</v>
      </c>
    </row>
    <row r="4" spans="1:18" s="201" customFormat="1" ht="15" customHeight="1" x14ac:dyDescent="0.25">
      <c r="A4" s="484" t="s">
        <v>15</v>
      </c>
      <c r="B4" s="484" t="s">
        <v>16</v>
      </c>
      <c r="C4" s="484" t="s">
        <v>17</v>
      </c>
      <c r="D4" s="533" t="s">
        <v>629</v>
      </c>
      <c r="E4" s="533" t="s">
        <v>618</v>
      </c>
      <c r="F4" s="533" t="s">
        <v>617</v>
      </c>
      <c r="G4" s="353" t="s">
        <v>623</v>
      </c>
      <c r="H4" s="486" t="s">
        <v>619</v>
      </c>
      <c r="I4" s="536" t="s">
        <v>620</v>
      </c>
      <c r="J4" s="536" t="s">
        <v>621</v>
      </c>
      <c r="K4" s="486" t="s">
        <v>622</v>
      </c>
      <c r="L4" s="536" t="s">
        <v>624</v>
      </c>
      <c r="M4" s="486" t="s">
        <v>594</v>
      </c>
    </row>
    <row r="5" spans="1:18" s="201" customFormat="1" ht="31.15" customHeight="1" x14ac:dyDescent="0.25">
      <c r="A5" s="484"/>
      <c r="B5" s="484"/>
      <c r="C5" s="484"/>
      <c r="D5" s="534"/>
      <c r="E5" s="534"/>
      <c r="F5" s="534"/>
      <c r="G5" s="353"/>
      <c r="H5" s="486"/>
      <c r="I5" s="536"/>
      <c r="J5" s="536"/>
      <c r="K5" s="486"/>
      <c r="L5" s="536"/>
      <c r="M5" s="486"/>
    </row>
    <row r="6" spans="1:18" s="201" customFormat="1" ht="14.25" x14ac:dyDescent="0.25">
      <c r="A6" s="484"/>
      <c r="B6" s="484"/>
      <c r="C6" s="484"/>
      <c r="D6" s="535"/>
      <c r="E6" s="535"/>
      <c r="F6" s="535"/>
      <c r="G6" s="279"/>
      <c r="H6" s="279"/>
      <c r="I6" s="279"/>
      <c r="J6" s="279"/>
      <c r="K6" s="279"/>
      <c r="L6" s="279"/>
      <c r="M6" s="279"/>
    </row>
    <row r="7" spans="1:18" s="121" customFormat="1" ht="17.45" customHeight="1" x14ac:dyDescent="0.25">
      <c r="A7" s="208">
        <v>1</v>
      </c>
      <c r="B7" s="208">
        <v>2</v>
      </c>
      <c r="C7" s="208">
        <v>3</v>
      </c>
      <c r="D7" s="208">
        <v>4</v>
      </c>
      <c r="E7" s="208">
        <v>5</v>
      </c>
      <c r="F7" s="208">
        <v>6</v>
      </c>
      <c r="G7" s="208">
        <v>7</v>
      </c>
      <c r="H7" s="208">
        <v>8</v>
      </c>
      <c r="I7" s="208" t="s">
        <v>631</v>
      </c>
      <c r="J7" s="208">
        <v>10</v>
      </c>
      <c r="K7" s="208" t="s">
        <v>630</v>
      </c>
      <c r="L7" s="208" t="s">
        <v>632</v>
      </c>
      <c r="M7" s="208">
        <v>13</v>
      </c>
    </row>
    <row r="8" spans="1:18" s="121" customFormat="1" ht="17.45" customHeight="1" x14ac:dyDescent="0.25">
      <c r="A8" s="529" t="s">
        <v>625</v>
      </c>
      <c r="B8" s="530"/>
      <c r="C8" s="287"/>
      <c r="D8" s="283">
        <f>SUBTOTAL(9,D9:D13)</f>
        <v>75000000</v>
      </c>
      <c r="E8" s="283">
        <f t="shared" ref="E8:L8" si="0">SUBTOTAL(9,E9:E13)</f>
        <v>0</v>
      </c>
      <c r="F8" s="283">
        <f t="shared" si="0"/>
        <v>75000000</v>
      </c>
      <c r="G8" s="283">
        <f t="shared" si="0"/>
        <v>0</v>
      </c>
      <c r="H8" s="283">
        <f t="shared" si="0"/>
        <v>4</v>
      </c>
      <c r="I8" s="283">
        <f t="shared" si="0"/>
        <v>17600000</v>
      </c>
      <c r="J8" s="283">
        <f t="shared" si="0"/>
        <v>44000000</v>
      </c>
      <c r="K8" s="283">
        <f t="shared" si="0"/>
        <v>61600000</v>
      </c>
      <c r="L8" s="283">
        <f t="shared" si="0"/>
        <v>13399999.999999996</v>
      </c>
      <c r="M8" s="283">
        <f>SUBTOTAL(9,M9:M13)</f>
        <v>1340000</v>
      </c>
    </row>
    <row r="9" spans="1:18" s="121" customFormat="1" ht="17.45" customHeight="1" x14ac:dyDescent="0.25">
      <c r="A9" s="208">
        <v>1</v>
      </c>
      <c r="B9" s="208"/>
      <c r="C9" s="162" t="s">
        <v>535</v>
      </c>
      <c r="D9" s="273">
        <f>VLOOKUP(C9,'BẢNG LƯƠNG TỔNG mới'!B9:H13,7,)</f>
        <v>5000000</v>
      </c>
      <c r="E9" s="273"/>
      <c r="F9" s="273">
        <f>D9-E9</f>
        <v>5000000</v>
      </c>
      <c r="G9" s="273"/>
      <c r="H9" s="273">
        <f>VLOOKUP(C9,'BẢNG LƯƠNG TỔNG mới'!B9:M13,12,0)</f>
        <v>0</v>
      </c>
      <c r="I9" s="273">
        <f>H9*4400000</f>
        <v>0</v>
      </c>
      <c r="J9" s="273">
        <v>11000000</v>
      </c>
      <c r="K9" s="273">
        <f>J9+I9+G9</f>
        <v>11000000</v>
      </c>
      <c r="L9" s="273">
        <f>F9-K9</f>
        <v>-6000000</v>
      </c>
      <c r="M9" s="204">
        <f>IF($A9="",0,IF(L9&lt;=0,0,IF(L9&lt;=5000000,L9*$M$3,IF(L9&lt;=10000000,$M$2*$M$3+(L9-$M$2)*$N$3,IF(L9&lt;18000000,$M$2*$M$3+$M$2*$N$3+(L9-$N$2)*$O$3,IF(L9&lt;=32000000,$M$2*$M$3+$M$2*$N$3+$O$2*$O$3+(L9-$P$2)*$P$3))))))</f>
        <v>0</v>
      </c>
    </row>
    <row r="10" spans="1:18" s="121" customFormat="1" ht="17.45" customHeight="1" x14ac:dyDescent="0.25">
      <c r="A10" s="208">
        <v>2</v>
      </c>
      <c r="B10" s="208"/>
      <c r="C10" s="162" t="s">
        <v>537</v>
      </c>
      <c r="D10" s="273">
        <f>VLOOKUP(C10,'BẢNG LƯƠNG TỔNG mới'!B10:H14,7,)</f>
        <v>20000000</v>
      </c>
      <c r="E10" s="273"/>
      <c r="F10" s="273">
        <f t="shared" ref="F10:F73" si="1">D10-E10</f>
        <v>20000000</v>
      </c>
      <c r="G10" s="273"/>
      <c r="H10" s="273">
        <f>VLOOKUP(C10,'BẢNG LƯƠNG TỔNG mới'!B10:M14,12,0)</f>
        <v>2</v>
      </c>
      <c r="I10" s="273">
        <f t="shared" ref="I10:I73" si="2">H10*4400000</f>
        <v>8800000</v>
      </c>
      <c r="J10" s="273">
        <v>11000000</v>
      </c>
      <c r="K10" s="273">
        <f t="shared" ref="K10:K73" si="3">J10+I10+G10</f>
        <v>19800000</v>
      </c>
      <c r="L10" s="273">
        <f t="shared" ref="L10:L73" si="4">F10-K10</f>
        <v>200000</v>
      </c>
      <c r="M10" s="204">
        <f>IF($A10="",0,IF(L10&lt;=0,0,IF(L10&lt;=5000000,L10*$M$3,IF(L10&lt;=10000000,$M$2*$M$3+(L10-$M$2)*$N$3,IF(L10&lt;18000000,$M$2*$M$3+$M$2*$N$3+(L10-$N$2)*$O$3,IF(L10&lt;=32000000,$M$2*$M$3+$M$2*$N$3+$O$2*$O$3+(L10-$P$2)*$P$3))))))</f>
        <v>10000</v>
      </c>
    </row>
    <row r="11" spans="1:18" s="121" customFormat="1" ht="17.45" customHeight="1" x14ac:dyDescent="0.25">
      <c r="A11" s="208">
        <v>3</v>
      </c>
      <c r="B11" s="208"/>
      <c r="C11" s="162" t="s">
        <v>539</v>
      </c>
      <c r="D11" s="273">
        <f>VLOOKUP(C11,'BẢNG LƯƠNG TỔNG mới'!B11:H15,7,)</f>
        <v>20000000</v>
      </c>
      <c r="E11" s="273"/>
      <c r="F11" s="273">
        <f t="shared" si="1"/>
        <v>20000000</v>
      </c>
      <c r="G11" s="273"/>
      <c r="H11" s="273">
        <f>VLOOKUP(C11,'BẢNG LƯƠNG TỔNG mới'!B11:M15,12,0)</f>
        <v>2</v>
      </c>
      <c r="I11" s="273">
        <f t="shared" si="2"/>
        <v>8800000</v>
      </c>
      <c r="J11" s="273"/>
      <c r="K11" s="273">
        <f t="shared" si="3"/>
        <v>8800000</v>
      </c>
      <c r="L11" s="273">
        <f t="shared" si="4"/>
        <v>11200000</v>
      </c>
      <c r="M11" s="204">
        <f>IF($A11="",0,IF(L11&lt;=0,0,IF(L11&lt;=5000000,L11*$M$3,IF(L11&lt;=10000000,$M$2*$M$3+(L11-$M$2)*$N$3,IF(L11&lt;18000000,$M$2*$M$3+$M$2*$N$3+(L11-$N$2)*$O$3,IF(L11&lt;=32000000,$M$2*$M$3+$M$2*$N$3+$O$2*$O$3+(L11-$P$2)*$P$3))))))</f>
        <v>930000</v>
      </c>
    </row>
    <row r="12" spans="1:18" s="121" customFormat="1" ht="17.45" customHeight="1" x14ac:dyDescent="0.25">
      <c r="A12" s="208">
        <v>4</v>
      </c>
      <c r="B12" s="208"/>
      <c r="C12" s="162" t="s">
        <v>541</v>
      </c>
      <c r="D12" s="273">
        <f>VLOOKUP(C12,'BẢNG LƯƠNG TỔNG mới'!B12:H16,7,)</f>
        <v>14999999.999999998</v>
      </c>
      <c r="E12" s="273"/>
      <c r="F12" s="273">
        <f t="shared" si="1"/>
        <v>14999999.999999998</v>
      </c>
      <c r="G12" s="273"/>
      <c r="H12" s="273">
        <f>VLOOKUP(C12,'BẢNG LƯƠNG TỔNG mới'!B12:M16,12,0)</f>
        <v>0</v>
      </c>
      <c r="I12" s="273">
        <f t="shared" si="2"/>
        <v>0</v>
      </c>
      <c r="J12" s="273">
        <v>11000000</v>
      </c>
      <c r="K12" s="273">
        <f t="shared" si="3"/>
        <v>11000000</v>
      </c>
      <c r="L12" s="273">
        <f t="shared" si="4"/>
        <v>3999999.9999999981</v>
      </c>
      <c r="M12" s="204">
        <f>IF($A12="",0,IF(L12&lt;=0,0,IF(L12&lt;=5000000,L12*$M$3,IF(L12&lt;=10000000,$M$2*$M$3+(L12-$M$2)*$N$3,IF(L12&lt;18000000,$M$2*$M$3+$M$2*$N$3+(L12-$N$2)*$O$3,IF(L12&lt;=32000000,$M$2*$M$3+$M$2*$N$3+$O$2*$O$3+(L12-$P$2)*$P$3))))))</f>
        <v>199999.99999999991</v>
      </c>
    </row>
    <row r="13" spans="1:18" s="121" customFormat="1" ht="17.45" customHeight="1" x14ac:dyDescent="0.25">
      <c r="A13" s="208">
        <v>5</v>
      </c>
      <c r="B13" s="208"/>
      <c r="C13" s="162" t="s">
        <v>543</v>
      </c>
      <c r="D13" s="273">
        <f>VLOOKUP(C13,'BẢNG LƯƠNG TỔNG mới'!B13:H17,7,)</f>
        <v>14999999.999999998</v>
      </c>
      <c r="E13" s="273"/>
      <c r="F13" s="273">
        <f t="shared" si="1"/>
        <v>14999999.999999998</v>
      </c>
      <c r="G13" s="273"/>
      <c r="H13" s="273">
        <f>VLOOKUP(C13,'BẢNG LƯƠNG TỔNG mới'!B13:M17,12,0)</f>
        <v>0</v>
      </c>
      <c r="I13" s="273">
        <f t="shared" si="2"/>
        <v>0</v>
      </c>
      <c r="J13" s="273">
        <v>11000000</v>
      </c>
      <c r="K13" s="273">
        <f t="shared" si="3"/>
        <v>11000000</v>
      </c>
      <c r="L13" s="273">
        <f t="shared" si="4"/>
        <v>3999999.9999999981</v>
      </c>
      <c r="M13" s="204">
        <f>IF($A13="",0,IF(L13&lt;=0,0,IF(L13&lt;=5000000,L13*$M$3,IF(L13&lt;=10000000,$M$2*$M$3+(L13-$M$2)*$N$3,IF(L13&lt;18000000,$M$2*$M$3+$M$2*$N$3+(L13-$N$2)*$O$3,IF(L13&lt;=32000000,$M$2*$M$3+$M$2*$N$3+$O$2*$O$3+(L13-$P$2)*$P$3))))))</f>
        <v>199999.99999999991</v>
      </c>
    </row>
    <row r="14" spans="1:18" s="121" customFormat="1" ht="17.45" customHeight="1" x14ac:dyDescent="0.25">
      <c r="A14" s="527" t="s">
        <v>626</v>
      </c>
      <c r="B14" s="528"/>
      <c r="C14" s="286"/>
      <c r="D14" s="283">
        <f>SUBTOTAL(9,D15:D23)</f>
        <v>80945432.692307681</v>
      </c>
      <c r="E14" s="283">
        <f t="shared" ref="E14:M14" si="5">SUBTOTAL(9,E15:E23)</f>
        <v>406250</v>
      </c>
      <c r="F14" s="283">
        <f t="shared" si="5"/>
        <v>80539182.692307681</v>
      </c>
      <c r="G14" s="283">
        <f t="shared" si="5"/>
        <v>0</v>
      </c>
      <c r="H14" s="283">
        <f t="shared" si="5"/>
        <v>1</v>
      </c>
      <c r="I14" s="283">
        <f t="shared" si="5"/>
        <v>4400000</v>
      </c>
      <c r="J14" s="283">
        <f t="shared" si="5"/>
        <v>99000000</v>
      </c>
      <c r="K14" s="283">
        <f t="shared" si="5"/>
        <v>103400000</v>
      </c>
      <c r="L14" s="283">
        <f t="shared" si="5"/>
        <v>-22860817.307692304</v>
      </c>
      <c r="M14" s="283">
        <f t="shared" si="5"/>
        <v>100000</v>
      </c>
    </row>
    <row r="15" spans="1:18" s="121" customFormat="1" ht="17.45" customHeight="1" x14ac:dyDescent="0.25">
      <c r="A15" s="208">
        <v>6</v>
      </c>
      <c r="B15" s="238" t="s">
        <v>471</v>
      </c>
      <c r="C15" s="280" t="s">
        <v>473</v>
      </c>
      <c r="D15" s="273">
        <f>VLOOKUP(C15,'VĂN PHÒNG'!C13:U21,19,0)</f>
        <v>10000000</v>
      </c>
      <c r="E15" s="273">
        <f>'VĂN PHÒNG'!S13/2</f>
        <v>0</v>
      </c>
      <c r="F15" s="273">
        <f t="shared" si="1"/>
        <v>10000000</v>
      </c>
      <c r="G15" s="273">
        <f>VLOOKUP(C15,'VĂN PHÒNG'!C13:V21,20,0)</f>
        <v>0</v>
      </c>
      <c r="H15" s="273">
        <f>VLOOKUP(C15,'VĂN PHÒNG'!C13:X21,22,0)</f>
        <v>0</v>
      </c>
      <c r="I15" s="273">
        <f t="shared" si="2"/>
        <v>0</v>
      </c>
      <c r="J15" s="273">
        <v>11000000</v>
      </c>
      <c r="K15" s="273">
        <f t="shared" si="3"/>
        <v>11000000</v>
      </c>
      <c r="L15" s="273">
        <f t="shared" si="4"/>
        <v>-1000000</v>
      </c>
      <c r="M15" s="204">
        <f t="shared" ref="M15:M23" si="6">IF($A15="",0,IF(L15&lt;=0,0,IF(L15&lt;=5000000,L15*$M$3,IF(L15&lt;=10000000,$M$2*$M$3+(L15-$M$2)*$N$3,IF(L15&lt;18000000,$M$2*$M$3+$M$2*$N$3+(L15-$N$2)*$O$3,IF(L15&lt;=32000000,$M$2*$M$3+$M$2*$N$3+$O$2*$O$3+(L15-$P$2)*$P$3))))))</f>
        <v>0</v>
      </c>
    </row>
    <row r="16" spans="1:18" s="121" customFormat="1" ht="17.45" customHeight="1" x14ac:dyDescent="0.25">
      <c r="A16" s="208">
        <f>A15+1</f>
        <v>7</v>
      </c>
      <c r="B16" s="238" t="s">
        <v>472</v>
      </c>
      <c r="C16" s="280" t="s">
        <v>474</v>
      </c>
      <c r="D16" s="273">
        <f>VLOOKUP(C16,'VĂN PHÒNG'!C14:U22,19,0)</f>
        <v>11000000</v>
      </c>
      <c r="E16" s="273">
        <f>'VĂN PHÒNG'!S14/2</f>
        <v>0</v>
      </c>
      <c r="F16" s="273">
        <f t="shared" si="1"/>
        <v>11000000</v>
      </c>
      <c r="G16" s="273">
        <f>VLOOKUP(C16,'VĂN PHÒNG'!C14:V22,20,0)</f>
        <v>0</v>
      </c>
      <c r="H16" s="273">
        <f>VLOOKUP(C16,'VĂN PHÒNG'!C14:X22,22,0)</f>
        <v>0</v>
      </c>
      <c r="I16" s="273">
        <f t="shared" si="2"/>
        <v>0</v>
      </c>
      <c r="J16" s="273">
        <v>11000000</v>
      </c>
      <c r="K16" s="273">
        <f t="shared" si="3"/>
        <v>11000000</v>
      </c>
      <c r="L16" s="273">
        <f t="shared" si="4"/>
        <v>0</v>
      </c>
      <c r="M16" s="204">
        <f t="shared" si="6"/>
        <v>0</v>
      </c>
    </row>
    <row r="17" spans="1:13" s="121" customFormat="1" ht="17.45" customHeight="1" x14ac:dyDescent="0.25">
      <c r="A17" s="208">
        <f>A16+1</f>
        <v>8</v>
      </c>
      <c r="B17" s="238" t="s">
        <v>102</v>
      </c>
      <c r="C17" s="280" t="s">
        <v>101</v>
      </c>
      <c r="D17" s="273">
        <f>VLOOKUP(C17,'VĂN PHÒNG'!C15:U23,19,0)</f>
        <v>8375000</v>
      </c>
      <c r="E17" s="273">
        <f>'VĂN PHÒNG'!S15/2</f>
        <v>406250</v>
      </c>
      <c r="F17" s="273">
        <f t="shared" si="1"/>
        <v>7968750</v>
      </c>
      <c r="G17" s="273">
        <f>VLOOKUP(C17,'VĂN PHÒNG'!C15:V23,20,0)</f>
        <v>0</v>
      </c>
      <c r="H17" s="273">
        <f>VLOOKUP(C17,'VĂN PHÒNG'!C15:X23,22,0)</f>
        <v>0</v>
      </c>
      <c r="I17" s="273">
        <f t="shared" si="2"/>
        <v>0</v>
      </c>
      <c r="J17" s="273">
        <v>11000000</v>
      </c>
      <c r="K17" s="273">
        <f t="shared" si="3"/>
        <v>11000000</v>
      </c>
      <c r="L17" s="273">
        <f t="shared" si="4"/>
        <v>-3031250</v>
      </c>
      <c r="M17" s="204">
        <f t="shared" si="6"/>
        <v>0</v>
      </c>
    </row>
    <row r="18" spans="1:13" s="121" customFormat="1" ht="17.45" customHeight="1" x14ac:dyDescent="0.25">
      <c r="A18" s="208">
        <f t="shared" ref="A18:A23" si="7">A17+1</f>
        <v>9</v>
      </c>
      <c r="B18" s="238" t="s">
        <v>102</v>
      </c>
      <c r="C18" s="280" t="s">
        <v>103</v>
      </c>
      <c r="D18" s="273">
        <f>VLOOKUP(C18,'VĂN PHÒNG'!C16:U24,19,0)</f>
        <v>10972355.76923077</v>
      </c>
      <c r="E18" s="273">
        <f>'VĂN PHÒNG'!S16/2</f>
        <v>0</v>
      </c>
      <c r="F18" s="273">
        <f t="shared" si="1"/>
        <v>10972355.76923077</v>
      </c>
      <c r="G18" s="273">
        <f>VLOOKUP(C18,'VĂN PHÒNG'!C16:V24,20,0)</f>
        <v>0</v>
      </c>
      <c r="H18" s="273">
        <f>VLOOKUP(C18,'VĂN PHÒNG'!C16:X24,22,0)</f>
        <v>0</v>
      </c>
      <c r="I18" s="273">
        <f t="shared" si="2"/>
        <v>0</v>
      </c>
      <c r="J18" s="273">
        <v>11000000</v>
      </c>
      <c r="K18" s="273">
        <f t="shared" si="3"/>
        <v>11000000</v>
      </c>
      <c r="L18" s="273">
        <f t="shared" si="4"/>
        <v>-27644.230769230053</v>
      </c>
      <c r="M18" s="204">
        <f t="shared" si="6"/>
        <v>0</v>
      </c>
    </row>
    <row r="19" spans="1:13" s="121" customFormat="1" ht="17.45" customHeight="1" x14ac:dyDescent="0.25">
      <c r="A19" s="208">
        <f t="shared" si="7"/>
        <v>10</v>
      </c>
      <c r="B19" s="238" t="s">
        <v>104</v>
      </c>
      <c r="C19" s="280" t="s">
        <v>105</v>
      </c>
      <c r="D19" s="273">
        <f>VLOOKUP(C19,'VĂN PHÒNG'!C17:U25,19,0)</f>
        <v>2844230.7692307695</v>
      </c>
      <c r="E19" s="273">
        <f>'VĂN PHÒNG'!S17/2</f>
        <v>0</v>
      </c>
      <c r="F19" s="273">
        <f t="shared" si="1"/>
        <v>2844230.7692307695</v>
      </c>
      <c r="G19" s="273">
        <f>VLOOKUP(C19,'VĂN PHÒNG'!C17:V25,20,0)</f>
        <v>0</v>
      </c>
      <c r="H19" s="273">
        <f>VLOOKUP(C19,'VĂN PHÒNG'!C17:X25,22,0)</f>
        <v>0</v>
      </c>
      <c r="I19" s="273">
        <f t="shared" si="2"/>
        <v>0</v>
      </c>
      <c r="J19" s="273">
        <v>11000000</v>
      </c>
      <c r="K19" s="273">
        <f t="shared" si="3"/>
        <v>11000000</v>
      </c>
      <c r="L19" s="273">
        <f t="shared" si="4"/>
        <v>-8155769.2307692301</v>
      </c>
      <c r="M19" s="204">
        <f t="shared" si="6"/>
        <v>0</v>
      </c>
    </row>
    <row r="20" spans="1:13" s="121" customFormat="1" ht="17.45" customHeight="1" x14ac:dyDescent="0.25">
      <c r="A20" s="208">
        <f t="shared" si="7"/>
        <v>11</v>
      </c>
      <c r="B20" s="244" t="s">
        <v>502</v>
      </c>
      <c r="C20" s="245" t="s">
        <v>504</v>
      </c>
      <c r="D20" s="273">
        <f>VLOOKUP(C20,'VĂN PHÒNG'!C18:U26,19,0)</f>
        <v>13000000</v>
      </c>
      <c r="E20" s="273">
        <f>'VĂN PHÒNG'!S18/2</f>
        <v>0</v>
      </c>
      <c r="F20" s="273">
        <f t="shared" si="1"/>
        <v>13000000</v>
      </c>
      <c r="G20" s="273">
        <f>VLOOKUP(C20,'VĂN PHÒNG'!C18:V26,20,0)</f>
        <v>0</v>
      </c>
      <c r="H20" s="273">
        <f>VLOOKUP(C20,'VĂN PHÒNG'!C18:X26,22,0)</f>
        <v>1</v>
      </c>
      <c r="I20" s="273">
        <f t="shared" si="2"/>
        <v>4400000</v>
      </c>
      <c r="J20" s="273">
        <v>11000000</v>
      </c>
      <c r="K20" s="273">
        <f t="shared" si="3"/>
        <v>15400000</v>
      </c>
      <c r="L20" s="273">
        <f t="shared" si="4"/>
        <v>-2400000</v>
      </c>
      <c r="M20" s="204">
        <f t="shared" si="6"/>
        <v>0</v>
      </c>
    </row>
    <row r="21" spans="1:13" s="121" customFormat="1" ht="17.45" customHeight="1" x14ac:dyDescent="0.25">
      <c r="A21" s="208">
        <f t="shared" si="7"/>
        <v>12</v>
      </c>
      <c r="B21" s="244" t="s">
        <v>503</v>
      </c>
      <c r="C21" s="245" t="s">
        <v>505</v>
      </c>
      <c r="D21" s="273">
        <f>VLOOKUP(C21,'VĂN PHÒNG'!C19:U27,19,0)</f>
        <v>5753846.153846154</v>
      </c>
      <c r="E21" s="273">
        <f>'VĂN PHÒNG'!S19/2</f>
        <v>0</v>
      </c>
      <c r="F21" s="273">
        <f t="shared" si="1"/>
        <v>5753846.153846154</v>
      </c>
      <c r="G21" s="273">
        <f>VLOOKUP(C21,'VĂN PHÒNG'!C19:V27,20,0)</f>
        <v>0</v>
      </c>
      <c r="H21" s="273">
        <f>VLOOKUP(C21,'VĂN PHÒNG'!C19:X27,22,0)</f>
        <v>0</v>
      </c>
      <c r="I21" s="273">
        <f t="shared" si="2"/>
        <v>0</v>
      </c>
      <c r="J21" s="273">
        <v>11000000</v>
      </c>
      <c r="K21" s="273">
        <f t="shared" si="3"/>
        <v>11000000</v>
      </c>
      <c r="L21" s="273">
        <f t="shared" si="4"/>
        <v>-5246153.846153846</v>
      </c>
      <c r="M21" s="204">
        <f t="shared" si="6"/>
        <v>0</v>
      </c>
    </row>
    <row r="22" spans="1:13" s="121" customFormat="1" ht="17.45" customHeight="1" x14ac:dyDescent="0.25">
      <c r="A22" s="208">
        <f t="shared" si="7"/>
        <v>13</v>
      </c>
      <c r="B22" s="244" t="s">
        <v>561</v>
      </c>
      <c r="C22" s="245" t="s">
        <v>562</v>
      </c>
      <c r="D22" s="273">
        <f>VLOOKUP(C22,'VĂN PHÒNG'!C20:U28,19,0)</f>
        <v>13000000</v>
      </c>
      <c r="E22" s="273">
        <f>'VĂN PHÒNG'!S20/2</f>
        <v>0</v>
      </c>
      <c r="F22" s="273">
        <f t="shared" si="1"/>
        <v>13000000</v>
      </c>
      <c r="G22" s="273">
        <f>VLOOKUP(C22,'VĂN PHÒNG'!C20:V28,20,0)</f>
        <v>0</v>
      </c>
      <c r="H22" s="273">
        <f>VLOOKUP(C22,'VĂN PHÒNG'!C20:X28,22,0)</f>
        <v>0</v>
      </c>
      <c r="I22" s="273">
        <f t="shared" si="2"/>
        <v>0</v>
      </c>
      <c r="J22" s="273">
        <v>11000000</v>
      </c>
      <c r="K22" s="273">
        <f t="shared" si="3"/>
        <v>11000000</v>
      </c>
      <c r="L22" s="273">
        <f t="shared" si="4"/>
        <v>2000000</v>
      </c>
      <c r="M22" s="204">
        <f t="shared" si="6"/>
        <v>100000</v>
      </c>
    </row>
    <row r="23" spans="1:13" s="121" customFormat="1" ht="17.45" customHeight="1" x14ac:dyDescent="0.25">
      <c r="A23" s="208">
        <f t="shared" si="7"/>
        <v>14</v>
      </c>
      <c r="B23" s="240" t="s">
        <v>534</v>
      </c>
      <c r="C23" s="240" t="s">
        <v>614</v>
      </c>
      <c r="D23" s="273">
        <f>VLOOKUP(C23,'VĂN PHÒNG'!C21:U29,19,0)</f>
        <v>6000000</v>
      </c>
      <c r="E23" s="273">
        <f>'VĂN PHÒNG'!S21/2</f>
        <v>0</v>
      </c>
      <c r="F23" s="273">
        <f t="shared" si="1"/>
        <v>6000000</v>
      </c>
      <c r="G23" s="273">
        <f>VLOOKUP(C23,'VĂN PHÒNG'!C21:V29,20,0)</f>
        <v>0</v>
      </c>
      <c r="H23" s="273">
        <f>VLOOKUP(C23,'VĂN PHÒNG'!C21:X29,22,0)</f>
        <v>0</v>
      </c>
      <c r="I23" s="273">
        <f t="shared" si="2"/>
        <v>0</v>
      </c>
      <c r="J23" s="273">
        <v>11000000</v>
      </c>
      <c r="K23" s="273">
        <f t="shared" si="3"/>
        <v>11000000</v>
      </c>
      <c r="L23" s="273">
        <f t="shared" si="4"/>
        <v>-5000000</v>
      </c>
      <c r="M23" s="204">
        <f t="shared" si="6"/>
        <v>0</v>
      </c>
    </row>
    <row r="24" spans="1:13" s="129" customFormat="1" ht="17.45" customHeight="1" x14ac:dyDescent="0.25">
      <c r="A24" s="531" t="s">
        <v>517</v>
      </c>
      <c r="B24" s="532"/>
      <c r="C24" s="289"/>
      <c r="D24" s="282">
        <f>SUBTOTAL(9,D25:D54)</f>
        <v>195560353.36538467</v>
      </c>
      <c r="E24" s="282">
        <f t="shared" ref="E24:L24" si="8">SUBTOTAL(9,E25:E54)</f>
        <v>22120137.019230772</v>
      </c>
      <c r="F24" s="282">
        <f t="shared" si="8"/>
        <v>173440216.34615389</v>
      </c>
      <c r="G24" s="282">
        <f t="shared" si="8"/>
        <v>0</v>
      </c>
      <c r="H24" s="282">
        <f t="shared" si="8"/>
        <v>0</v>
      </c>
      <c r="I24" s="282">
        <f t="shared" si="8"/>
        <v>0</v>
      </c>
      <c r="J24" s="282">
        <f t="shared" si="8"/>
        <v>330000000</v>
      </c>
      <c r="K24" s="282">
        <f t="shared" si="8"/>
        <v>330000000</v>
      </c>
      <c r="L24" s="282">
        <f t="shared" si="8"/>
        <v>-156559783.65384614</v>
      </c>
      <c r="M24" s="284">
        <f t="shared" ref="M24" si="9">IF($A24="",0,IF(L24&lt;=0,0,IF(L24&lt;=5000000,L24*$M$3,IF(L24&lt;=10000000,$M$2*$M$3+(L24-$M$2)*$N$3,IF(L24&lt;18000000,$M$2*$M$3+$N$2*$N$3+(L24-$N$2)*$O$3,IF(L24&lt;=32000000,$M$2*$M$3+$N$2*$N$3+$O$2*$O$3+(L24-$P$2)*$P$3))))))</f>
        <v>0</v>
      </c>
    </row>
    <row r="25" spans="1:13" ht="17.45" customHeight="1" x14ac:dyDescent="0.25">
      <c r="A25" s="199">
        <v>14</v>
      </c>
      <c r="B25" s="72" t="s">
        <v>34</v>
      </c>
      <c r="C25" s="73" t="s">
        <v>35</v>
      </c>
      <c r="D25" s="132">
        <f>'SẢN XUẤTmới'!AH9</f>
        <v>6089173.076923077</v>
      </c>
      <c r="E25" s="132">
        <f>'SẢN XUẤTmới'!F9/26/8*('SẢN XUẤTmới'!N9*0.5+'SẢN XUẤTmới'!O9*0.8)+'SẢN XUẤTmới'!Z9/2</f>
        <v>841649.0384615385</v>
      </c>
      <c r="F25" s="273">
        <f t="shared" si="1"/>
        <v>5247524.038461538</v>
      </c>
      <c r="G25" s="132"/>
      <c r="H25" s="132"/>
      <c r="I25" s="273">
        <f t="shared" si="2"/>
        <v>0</v>
      </c>
      <c r="J25" s="273">
        <v>11000000</v>
      </c>
      <c r="K25" s="273">
        <f t="shared" si="3"/>
        <v>11000000</v>
      </c>
      <c r="L25" s="273">
        <f t="shared" si="4"/>
        <v>-5752475.961538462</v>
      </c>
      <c r="M25" s="204">
        <f t="shared" ref="M25:M54" si="10">IF($A25="",0,IF(L25&lt;=0,0,IF(L25&lt;=5000000,L25*$M$3,IF(L25&lt;=10000000,$M$2*$M$3+(L25-$M$2)*$N$3,IF(L25&lt;18000000,$M$2*$M$3+$M$2*$N$3+(L25-$N$2)*$O$3,IF(L25&lt;=32000000,$M$2*$M$3+$M$2*$N$3+$O$2*$O$3+(L25-$P$2)*$P$3))))))</f>
        <v>0</v>
      </c>
    </row>
    <row r="26" spans="1:13" ht="15.75" x14ac:dyDescent="0.25">
      <c r="A26" s="199">
        <v>15</v>
      </c>
      <c r="B26" s="72" t="s">
        <v>36</v>
      </c>
      <c r="C26" s="73" t="s">
        <v>37</v>
      </c>
      <c r="D26" s="132">
        <f>'SẢN XUẤTmới'!AH10</f>
        <v>5073449.5192307699</v>
      </c>
      <c r="E26" s="132">
        <f>'SẢN XUẤTmới'!F10/26/8*('SẢN XUẤTmới'!N10*0.5+'SẢN XUẤTmới'!O10*0.8)+'SẢN XUẤTmới'!Z10/2</f>
        <v>576574.51923076925</v>
      </c>
      <c r="F26" s="273">
        <f t="shared" si="1"/>
        <v>4496875.0000000009</v>
      </c>
      <c r="G26" s="132"/>
      <c r="H26" s="132"/>
      <c r="I26" s="273">
        <f t="shared" si="2"/>
        <v>0</v>
      </c>
      <c r="J26" s="273">
        <v>11000000</v>
      </c>
      <c r="K26" s="273">
        <f t="shared" si="3"/>
        <v>11000000</v>
      </c>
      <c r="L26" s="273">
        <f t="shared" si="4"/>
        <v>-6503124.9999999991</v>
      </c>
      <c r="M26" s="204">
        <f t="shared" si="10"/>
        <v>0</v>
      </c>
    </row>
    <row r="27" spans="1:13" ht="15.75" x14ac:dyDescent="0.25">
      <c r="A27" s="199">
        <f>A26+1</f>
        <v>16</v>
      </c>
      <c r="B27" s="72" t="s">
        <v>38</v>
      </c>
      <c r="C27" s="73" t="s">
        <v>39</v>
      </c>
      <c r="D27" s="132">
        <f>'SẢN XUẤTmới'!AH11</f>
        <v>4850661.057692307</v>
      </c>
      <c r="E27" s="132">
        <f>'SẢN XUẤTmới'!F11/26/8*('SẢN XUẤTmới'!N11*0.5+'SẢN XUẤTmới'!O11*0.8)+'SẢN XUẤTmới'!Z11/2</f>
        <v>347656.25</v>
      </c>
      <c r="F27" s="273">
        <f t="shared" si="1"/>
        <v>4503004.807692307</v>
      </c>
      <c r="G27" s="132"/>
      <c r="H27" s="132"/>
      <c r="I27" s="273">
        <f t="shared" si="2"/>
        <v>0</v>
      </c>
      <c r="J27" s="273">
        <v>11000000</v>
      </c>
      <c r="K27" s="273">
        <f t="shared" si="3"/>
        <v>11000000</v>
      </c>
      <c r="L27" s="273">
        <f t="shared" si="4"/>
        <v>-6496995.192307693</v>
      </c>
      <c r="M27" s="204">
        <f t="shared" si="10"/>
        <v>0</v>
      </c>
    </row>
    <row r="28" spans="1:13" ht="15.75" x14ac:dyDescent="0.25">
      <c r="A28" s="199">
        <f t="shared" ref="A28:A54" si="11">A27+1</f>
        <v>17</v>
      </c>
      <c r="B28" s="72" t="s">
        <v>40</v>
      </c>
      <c r="C28" s="73" t="s">
        <v>41</v>
      </c>
      <c r="D28" s="132">
        <f>'SẢN XUẤTmới'!AH12</f>
        <v>12035362.98076923</v>
      </c>
      <c r="E28" s="132">
        <f>'SẢN XUẤTmới'!F12/26/8*('SẢN XUẤTmới'!N12*0.5+'SẢN XUẤTmới'!O12*0.8)+'SẢN XUẤTmới'!Z12/2</f>
        <v>1781925.480769231</v>
      </c>
      <c r="F28" s="273">
        <f t="shared" si="1"/>
        <v>10253437.5</v>
      </c>
      <c r="G28" s="132"/>
      <c r="H28" s="132"/>
      <c r="I28" s="273">
        <f t="shared" si="2"/>
        <v>0</v>
      </c>
      <c r="J28" s="273">
        <v>11000000</v>
      </c>
      <c r="K28" s="273">
        <f t="shared" si="3"/>
        <v>11000000</v>
      </c>
      <c r="L28" s="273">
        <f t="shared" si="4"/>
        <v>-746562.5</v>
      </c>
      <c r="M28" s="204">
        <f t="shared" si="10"/>
        <v>0</v>
      </c>
    </row>
    <row r="29" spans="1:13" ht="15.75" x14ac:dyDescent="0.25">
      <c r="A29" s="199">
        <f t="shared" si="11"/>
        <v>18</v>
      </c>
      <c r="B29" s="72" t="s">
        <v>42</v>
      </c>
      <c r="C29" s="73" t="s">
        <v>43</v>
      </c>
      <c r="D29" s="132">
        <f>'SẢN XUẤTmới'!AH13</f>
        <v>9783725.9615384638</v>
      </c>
      <c r="E29" s="132">
        <f>'SẢN XUẤTmới'!F13/26/8*('SẢN XUẤTmới'!N13*0.5+'SẢN XUẤTmới'!O13*0.8)+'SẢN XUẤTmới'!Z13/2</f>
        <v>722055.2884615385</v>
      </c>
      <c r="F29" s="273">
        <f t="shared" si="1"/>
        <v>9061670.6730769258</v>
      </c>
      <c r="G29" s="132"/>
      <c r="H29" s="132"/>
      <c r="I29" s="273">
        <f t="shared" si="2"/>
        <v>0</v>
      </c>
      <c r="J29" s="273">
        <v>11000000</v>
      </c>
      <c r="K29" s="273">
        <f t="shared" si="3"/>
        <v>11000000</v>
      </c>
      <c r="L29" s="273">
        <f t="shared" si="4"/>
        <v>-1938329.3269230742</v>
      </c>
      <c r="M29" s="204">
        <f t="shared" si="10"/>
        <v>0</v>
      </c>
    </row>
    <row r="30" spans="1:13" ht="15.75" x14ac:dyDescent="0.25">
      <c r="A30" s="199">
        <f t="shared" si="11"/>
        <v>19</v>
      </c>
      <c r="B30" s="72" t="s">
        <v>44</v>
      </c>
      <c r="C30" s="73" t="s">
        <v>45</v>
      </c>
      <c r="D30" s="132">
        <f>'SẢN XUẤTmới'!AH14</f>
        <v>10297175.480769234</v>
      </c>
      <c r="E30" s="132">
        <f>'SẢN XUẤTmới'!F14/26/8*('SẢN XUẤTmới'!N14*0.5+'SẢN XUẤTmới'!O14*0.8)+'SẢN XUẤTmới'!Z14/2</f>
        <v>1759675.4807692308</v>
      </c>
      <c r="F30" s="273">
        <f t="shared" si="1"/>
        <v>8537500.0000000037</v>
      </c>
      <c r="G30" s="132"/>
      <c r="H30" s="132"/>
      <c r="I30" s="273">
        <f t="shared" si="2"/>
        <v>0</v>
      </c>
      <c r="J30" s="273">
        <v>11000000</v>
      </c>
      <c r="K30" s="273">
        <f t="shared" si="3"/>
        <v>11000000</v>
      </c>
      <c r="L30" s="273">
        <f t="shared" si="4"/>
        <v>-2462499.9999999963</v>
      </c>
      <c r="M30" s="204">
        <f t="shared" si="10"/>
        <v>0</v>
      </c>
    </row>
    <row r="31" spans="1:13" ht="15.75" x14ac:dyDescent="0.25">
      <c r="A31" s="199">
        <f t="shared" si="11"/>
        <v>20</v>
      </c>
      <c r="B31" s="72" t="s">
        <v>46</v>
      </c>
      <c r="C31" s="73" t="s">
        <v>465</v>
      </c>
      <c r="D31" s="132">
        <f>'SẢN XUẤTmới'!AH15</f>
        <v>10232992.78846154</v>
      </c>
      <c r="E31" s="132">
        <f>'SẢN XUẤTmới'!F15/26/8*('SẢN XUẤTmới'!N15*0.5+'SẢN XUẤTmới'!O15*0.8)+'SẢN XUẤTmới'!Z15/2</f>
        <v>1738281.25</v>
      </c>
      <c r="F31" s="273">
        <f t="shared" si="1"/>
        <v>8494711.5384615399</v>
      </c>
      <c r="G31" s="132"/>
      <c r="H31" s="132"/>
      <c r="I31" s="273">
        <f t="shared" si="2"/>
        <v>0</v>
      </c>
      <c r="J31" s="273">
        <v>11000000</v>
      </c>
      <c r="K31" s="273">
        <f t="shared" si="3"/>
        <v>11000000</v>
      </c>
      <c r="L31" s="273">
        <f t="shared" si="4"/>
        <v>-2505288.4615384601</v>
      </c>
      <c r="M31" s="204">
        <f t="shared" si="10"/>
        <v>0</v>
      </c>
    </row>
    <row r="32" spans="1:13" ht="15.75" x14ac:dyDescent="0.25">
      <c r="A32" s="199">
        <f t="shared" si="11"/>
        <v>21</v>
      </c>
      <c r="B32" s="72" t="s">
        <v>48</v>
      </c>
      <c r="C32" s="73" t="s">
        <v>49</v>
      </c>
      <c r="D32" s="132">
        <f>'SẢN XUẤTmới'!AH16</f>
        <v>6870252.4038461559</v>
      </c>
      <c r="E32" s="132">
        <f>'SẢN XUẤTmới'!F16/26/8*('SẢN XUẤTmới'!N16*0.5+'SẢN XUẤTmới'!O16*0.8)+'SẢN XUẤTmới'!Z16/2</f>
        <v>540204.32692307688</v>
      </c>
      <c r="F32" s="273">
        <f t="shared" si="1"/>
        <v>6330048.0769230789</v>
      </c>
      <c r="G32" s="132"/>
      <c r="H32" s="132"/>
      <c r="I32" s="273">
        <f t="shared" si="2"/>
        <v>0</v>
      </c>
      <c r="J32" s="273">
        <v>11000000</v>
      </c>
      <c r="K32" s="273">
        <f t="shared" si="3"/>
        <v>11000000</v>
      </c>
      <c r="L32" s="273">
        <f t="shared" si="4"/>
        <v>-4669951.9230769211</v>
      </c>
      <c r="M32" s="204">
        <f t="shared" si="10"/>
        <v>0</v>
      </c>
    </row>
    <row r="33" spans="1:13" ht="15.75" x14ac:dyDescent="0.25">
      <c r="A33" s="199">
        <f t="shared" si="11"/>
        <v>22</v>
      </c>
      <c r="B33" s="72" t="s">
        <v>50</v>
      </c>
      <c r="C33" s="73" t="s">
        <v>51</v>
      </c>
      <c r="D33" s="132">
        <f>'SẢN XUẤTmới'!AH17</f>
        <v>7726514.423076923</v>
      </c>
      <c r="E33" s="132">
        <f>'SẢN XUẤTmới'!F17/26/8*('SẢN XUẤTmới'!N17*0.5+'SẢN XUẤTmới'!O17*0.8)+'SẢN XUẤTmới'!Z17/2</f>
        <v>581923.07692307688</v>
      </c>
      <c r="F33" s="273">
        <f t="shared" si="1"/>
        <v>7144591.346153846</v>
      </c>
      <c r="G33" s="132"/>
      <c r="H33" s="132"/>
      <c r="I33" s="273">
        <f t="shared" si="2"/>
        <v>0</v>
      </c>
      <c r="J33" s="273">
        <v>11000000</v>
      </c>
      <c r="K33" s="273">
        <f t="shared" si="3"/>
        <v>11000000</v>
      </c>
      <c r="L33" s="273">
        <f t="shared" si="4"/>
        <v>-3855408.653846154</v>
      </c>
      <c r="M33" s="204">
        <f t="shared" si="10"/>
        <v>0</v>
      </c>
    </row>
    <row r="34" spans="1:13" ht="15.75" x14ac:dyDescent="0.25">
      <c r="A34" s="199">
        <f t="shared" si="11"/>
        <v>23</v>
      </c>
      <c r="B34" s="72" t="s">
        <v>52</v>
      </c>
      <c r="C34" s="73" t="s">
        <v>53</v>
      </c>
      <c r="D34" s="132">
        <f>'SẢN XUẤTmới'!AH18</f>
        <v>9694783.6538461521</v>
      </c>
      <c r="E34" s="132">
        <f>'SẢN XUẤTmới'!F18/26/8*('SẢN XUẤTmới'!N18*0.5+'SẢN XUẤTmới'!O18*0.8)+'SẢN XUẤTmới'!Z18/2</f>
        <v>1405600.9615384615</v>
      </c>
      <c r="F34" s="273">
        <f t="shared" si="1"/>
        <v>8289182.6923076902</v>
      </c>
      <c r="G34" s="132"/>
      <c r="H34" s="132"/>
      <c r="I34" s="273">
        <f t="shared" si="2"/>
        <v>0</v>
      </c>
      <c r="J34" s="273">
        <v>11000000</v>
      </c>
      <c r="K34" s="273">
        <f t="shared" si="3"/>
        <v>11000000</v>
      </c>
      <c r="L34" s="273">
        <f t="shared" si="4"/>
        <v>-2710817.3076923098</v>
      </c>
      <c r="M34" s="204">
        <f t="shared" si="10"/>
        <v>0</v>
      </c>
    </row>
    <row r="35" spans="1:13" ht="15.75" x14ac:dyDescent="0.25">
      <c r="A35" s="199">
        <f t="shared" si="11"/>
        <v>24</v>
      </c>
      <c r="B35" s="72" t="s">
        <v>54</v>
      </c>
      <c r="C35" s="73" t="s">
        <v>55</v>
      </c>
      <c r="D35" s="132">
        <f>'SẢN XUẤTmới'!AH19</f>
        <v>9807103.365384616</v>
      </c>
      <c r="E35" s="132">
        <f>'SẢN XUẤTmới'!F19/26/8*('SẢN XUẤTmới'!N19*0.5+'SẢN XUẤTmới'!O19*0.8)+'SẢN XUẤTmới'!Z19/2</f>
        <v>1443040.8653846155</v>
      </c>
      <c r="F35" s="273">
        <f t="shared" si="1"/>
        <v>8364062.5</v>
      </c>
      <c r="G35" s="132"/>
      <c r="H35" s="132"/>
      <c r="I35" s="273">
        <f t="shared" si="2"/>
        <v>0</v>
      </c>
      <c r="J35" s="273">
        <v>11000000</v>
      </c>
      <c r="K35" s="273">
        <f t="shared" si="3"/>
        <v>11000000</v>
      </c>
      <c r="L35" s="273">
        <f t="shared" si="4"/>
        <v>-2635937.5</v>
      </c>
      <c r="M35" s="204">
        <f t="shared" si="10"/>
        <v>0</v>
      </c>
    </row>
    <row r="36" spans="1:13" ht="15.75" x14ac:dyDescent="0.25">
      <c r="A36" s="199">
        <f t="shared" si="11"/>
        <v>25</v>
      </c>
      <c r="B36" s="72" t="s">
        <v>56</v>
      </c>
      <c r="C36" s="73" t="s">
        <v>57</v>
      </c>
      <c r="D36" s="132">
        <f>'SẢN XUẤTmới'!AH20</f>
        <v>7188882.2115384629</v>
      </c>
      <c r="E36" s="132">
        <f>'SẢN XUẤTmới'!F20/26/8*('SẢN XUẤTmới'!N20*0.5+'SẢN XUẤTmới'!O20*0.8)+'SẢN XUẤTmới'!Z20/2</f>
        <v>417187.5</v>
      </c>
      <c r="F36" s="273">
        <f t="shared" si="1"/>
        <v>6771694.7115384629</v>
      </c>
      <c r="G36" s="132"/>
      <c r="H36" s="132"/>
      <c r="I36" s="273">
        <f t="shared" si="2"/>
        <v>0</v>
      </c>
      <c r="J36" s="273">
        <v>11000000</v>
      </c>
      <c r="K36" s="273">
        <f t="shared" si="3"/>
        <v>11000000</v>
      </c>
      <c r="L36" s="273">
        <f t="shared" si="4"/>
        <v>-4228305.2884615371</v>
      </c>
      <c r="M36" s="204">
        <f t="shared" si="10"/>
        <v>0</v>
      </c>
    </row>
    <row r="37" spans="1:13" ht="15.75" x14ac:dyDescent="0.25">
      <c r="A37" s="199">
        <f t="shared" si="11"/>
        <v>26</v>
      </c>
      <c r="B37" s="72" t="s">
        <v>58</v>
      </c>
      <c r="C37" s="73" t="s">
        <v>59</v>
      </c>
      <c r="D37" s="132">
        <f>'SẢN XUẤTmới'!AH21</f>
        <v>7956790.865384615</v>
      </c>
      <c r="E37" s="132">
        <f>'SẢN XUẤTmới'!F21/26/8*('SẢN XUẤTmới'!N21*0.5+'SẢN XUẤTmới'!O21*0.8)+'SẢN XUẤTmới'!Z21/2</f>
        <v>829026.44230769225</v>
      </c>
      <c r="F37" s="273">
        <f t="shared" si="1"/>
        <v>7127764.423076923</v>
      </c>
      <c r="G37" s="132"/>
      <c r="H37" s="132"/>
      <c r="I37" s="273">
        <f t="shared" si="2"/>
        <v>0</v>
      </c>
      <c r="J37" s="273">
        <v>11000000</v>
      </c>
      <c r="K37" s="273">
        <f t="shared" si="3"/>
        <v>11000000</v>
      </c>
      <c r="L37" s="273">
        <f t="shared" si="4"/>
        <v>-3872235.576923077</v>
      </c>
      <c r="M37" s="204">
        <f t="shared" si="10"/>
        <v>0</v>
      </c>
    </row>
    <row r="38" spans="1:13" ht="15.75" x14ac:dyDescent="0.25">
      <c r="A38" s="199">
        <f t="shared" si="11"/>
        <v>27</v>
      </c>
      <c r="B38" s="72" t="s">
        <v>60</v>
      </c>
      <c r="C38" s="73" t="s">
        <v>61</v>
      </c>
      <c r="D38" s="132">
        <f>'SẢN XUẤTmới'!AH22</f>
        <v>5983834.134615385</v>
      </c>
      <c r="E38" s="132">
        <f>'SẢN XUẤTmới'!F22/26/8*('SẢN XUẤTmới'!N22*0.5+'SẢN XUẤTmới'!O22*0.8)+'SẢN XUẤTmới'!Z22/2</f>
        <v>593689.90384615387</v>
      </c>
      <c r="F38" s="273">
        <f t="shared" si="1"/>
        <v>5390144.230769231</v>
      </c>
      <c r="G38" s="132"/>
      <c r="H38" s="132"/>
      <c r="I38" s="273">
        <f t="shared" si="2"/>
        <v>0</v>
      </c>
      <c r="J38" s="273">
        <v>11000000</v>
      </c>
      <c r="K38" s="273">
        <f t="shared" si="3"/>
        <v>11000000</v>
      </c>
      <c r="L38" s="273">
        <f t="shared" si="4"/>
        <v>-5609855.769230769</v>
      </c>
      <c r="M38" s="204">
        <f t="shared" si="10"/>
        <v>0</v>
      </c>
    </row>
    <row r="39" spans="1:13" ht="15.75" x14ac:dyDescent="0.25">
      <c r="A39" s="199">
        <f t="shared" si="11"/>
        <v>28</v>
      </c>
      <c r="B39" s="72" t="s">
        <v>62</v>
      </c>
      <c r="C39" s="73" t="s">
        <v>63</v>
      </c>
      <c r="D39" s="132">
        <f>'SẢN XUẤTmới'!AH23</f>
        <v>10984531.25</v>
      </c>
      <c r="E39" s="132">
        <f>'SẢN XUẤTmới'!F23/26/8*('SẢN XUẤTmới'!N23*0.5+'SẢN XUẤTmới'!O23*0.8)+'SẢN XUẤTmới'!Z23/2</f>
        <v>1130685.0961538462</v>
      </c>
      <c r="F39" s="273">
        <f t="shared" si="1"/>
        <v>9853846.153846154</v>
      </c>
      <c r="G39" s="132"/>
      <c r="H39" s="132"/>
      <c r="I39" s="273">
        <f t="shared" si="2"/>
        <v>0</v>
      </c>
      <c r="J39" s="273">
        <v>11000000</v>
      </c>
      <c r="K39" s="273">
        <f t="shared" si="3"/>
        <v>11000000</v>
      </c>
      <c r="L39" s="273">
        <f t="shared" si="4"/>
        <v>-1146153.846153846</v>
      </c>
      <c r="M39" s="204">
        <f t="shared" si="10"/>
        <v>0</v>
      </c>
    </row>
    <row r="40" spans="1:13" ht="15.75" x14ac:dyDescent="0.25">
      <c r="A40" s="199">
        <f t="shared" si="11"/>
        <v>29</v>
      </c>
      <c r="B40" s="72" t="s">
        <v>64</v>
      </c>
      <c r="C40" s="73" t="s">
        <v>506</v>
      </c>
      <c r="D40" s="132">
        <f>'SẢN XUẤTmới'!AH24</f>
        <v>7407968.7499999991</v>
      </c>
      <c r="E40" s="132">
        <f>'SẢN XUẤTmới'!F24/26/8*('SẢN XUẤTmới'!N24*0.5+'SẢN XUẤTmới'!O24*0.8)+'SẢN XUẤTmới'!Z24/2</f>
        <v>884651.44230769225</v>
      </c>
      <c r="F40" s="273">
        <f t="shared" si="1"/>
        <v>6523317.307692307</v>
      </c>
      <c r="G40" s="132"/>
      <c r="H40" s="132"/>
      <c r="I40" s="273">
        <f t="shared" si="2"/>
        <v>0</v>
      </c>
      <c r="J40" s="273">
        <v>11000000</v>
      </c>
      <c r="K40" s="273">
        <f t="shared" si="3"/>
        <v>11000000</v>
      </c>
      <c r="L40" s="273">
        <f t="shared" si="4"/>
        <v>-4476682.692307693</v>
      </c>
      <c r="M40" s="204">
        <f t="shared" si="10"/>
        <v>0</v>
      </c>
    </row>
    <row r="41" spans="1:13" ht="15.75" x14ac:dyDescent="0.25">
      <c r="A41" s="199">
        <f t="shared" si="11"/>
        <v>30</v>
      </c>
      <c r="B41" s="72" t="s">
        <v>66</v>
      </c>
      <c r="C41" s="73" t="s">
        <v>464</v>
      </c>
      <c r="D41" s="132">
        <f>'SẢN XUẤTmới'!AH25</f>
        <v>8489879.8076923061</v>
      </c>
      <c r="E41" s="132">
        <f>'SẢN XUẤTmới'!F25/26/8*('SẢN XUẤTmới'!N25*0.5+'SẢN XUẤTmới'!O25*0.8)+'SẢN XUẤTmới'!Z25/2</f>
        <v>729543.26923076925</v>
      </c>
      <c r="F41" s="273">
        <f t="shared" si="1"/>
        <v>7760336.5384615371</v>
      </c>
      <c r="G41" s="132"/>
      <c r="H41" s="132"/>
      <c r="I41" s="273">
        <f t="shared" si="2"/>
        <v>0</v>
      </c>
      <c r="J41" s="273">
        <v>11000000</v>
      </c>
      <c r="K41" s="273">
        <f t="shared" si="3"/>
        <v>11000000</v>
      </c>
      <c r="L41" s="273">
        <f t="shared" si="4"/>
        <v>-3239663.4615384629</v>
      </c>
      <c r="M41" s="204">
        <f t="shared" si="10"/>
        <v>0</v>
      </c>
    </row>
    <row r="42" spans="1:13" ht="15.75" x14ac:dyDescent="0.25">
      <c r="A42" s="199">
        <f t="shared" si="11"/>
        <v>31</v>
      </c>
      <c r="B42" s="72" t="s">
        <v>68</v>
      </c>
      <c r="C42" s="73" t="s">
        <v>69</v>
      </c>
      <c r="D42" s="132">
        <f>'SẢN XUẤTmới'!AH26</f>
        <v>7762391.8269230779</v>
      </c>
      <c r="E42" s="132">
        <f>'SẢN XUẤTmới'!F26/26/8*('SẢN XUẤTmới'!N26*0.5+'SẢN XUẤTmới'!O26*0.8)+'SẢN XUẤTmới'!Z26/2</f>
        <v>747728.36538461549</v>
      </c>
      <c r="F42" s="273">
        <f t="shared" si="1"/>
        <v>7014663.461538462</v>
      </c>
      <c r="G42" s="132"/>
      <c r="H42" s="132"/>
      <c r="I42" s="273">
        <f t="shared" si="2"/>
        <v>0</v>
      </c>
      <c r="J42" s="273">
        <v>11000000</v>
      </c>
      <c r="K42" s="273">
        <f t="shared" si="3"/>
        <v>11000000</v>
      </c>
      <c r="L42" s="273">
        <f t="shared" si="4"/>
        <v>-3985336.538461538</v>
      </c>
      <c r="M42" s="204">
        <f t="shared" si="10"/>
        <v>0</v>
      </c>
    </row>
    <row r="43" spans="1:13" ht="15.75" x14ac:dyDescent="0.25">
      <c r="A43" s="199">
        <f t="shared" si="11"/>
        <v>32</v>
      </c>
      <c r="B43" s="72" t="s">
        <v>70</v>
      </c>
      <c r="C43" s="73" t="s">
        <v>71</v>
      </c>
      <c r="D43" s="132">
        <f>'SẢN XUẤTmới'!AH27</f>
        <v>9233533.653846154</v>
      </c>
      <c r="E43" s="132">
        <f>'SẢN XUẤTmới'!F27/26/8*('SẢN XUẤTmới'!N27*0.5+'SẢN XUẤTmới'!O27*0.8)+'SẢN XUẤTmới'!Z27/2</f>
        <v>1540384.6153846155</v>
      </c>
      <c r="F43" s="273">
        <f t="shared" si="1"/>
        <v>7693149.038461538</v>
      </c>
      <c r="G43" s="132"/>
      <c r="H43" s="132"/>
      <c r="I43" s="273">
        <f t="shared" si="2"/>
        <v>0</v>
      </c>
      <c r="J43" s="273">
        <v>11000000</v>
      </c>
      <c r="K43" s="273">
        <f t="shared" si="3"/>
        <v>11000000</v>
      </c>
      <c r="L43" s="273">
        <f t="shared" si="4"/>
        <v>-3306850.961538462</v>
      </c>
      <c r="M43" s="204">
        <f t="shared" si="10"/>
        <v>0</v>
      </c>
    </row>
    <row r="44" spans="1:13" ht="15.75" x14ac:dyDescent="0.25">
      <c r="A44" s="199">
        <f t="shared" si="11"/>
        <v>33</v>
      </c>
      <c r="B44" s="72" t="s">
        <v>72</v>
      </c>
      <c r="C44" s="73" t="s">
        <v>73</v>
      </c>
      <c r="D44" s="132">
        <f>'SẢN XUẤTmới'!AH28</f>
        <v>7768810.0961538479</v>
      </c>
      <c r="E44" s="132">
        <f>'SẢN XUẤTmới'!F28/26/8*('SẢN XUẤTmới'!N28*0.5+'SẢN XUẤTmới'!O28*0.8)+'SẢN XUẤTmới'!Z28/2</f>
        <v>743449.51923076925</v>
      </c>
      <c r="F44" s="273">
        <f t="shared" si="1"/>
        <v>7025360.5769230789</v>
      </c>
      <c r="G44" s="132"/>
      <c r="H44" s="132"/>
      <c r="I44" s="273">
        <f t="shared" si="2"/>
        <v>0</v>
      </c>
      <c r="J44" s="273">
        <v>11000000</v>
      </c>
      <c r="K44" s="273">
        <f t="shared" si="3"/>
        <v>11000000</v>
      </c>
      <c r="L44" s="273">
        <f t="shared" si="4"/>
        <v>-3974639.4230769211</v>
      </c>
      <c r="M44" s="204">
        <f t="shared" si="10"/>
        <v>0</v>
      </c>
    </row>
    <row r="45" spans="1:13" ht="15.75" x14ac:dyDescent="0.25">
      <c r="A45" s="199">
        <f t="shared" si="11"/>
        <v>34</v>
      </c>
      <c r="B45" s="72" t="s">
        <v>74</v>
      </c>
      <c r="C45" s="73" t="s">
        <v>75</v>
      </c>
      <c r="D45" s="132">
        <f>'SẢN XUẤTmới'!AH29</f>
        <v>4684495.192307692</v>
      </c>
      <c r="E45" s="132">
        <f>'SẢN XUẤTmới'!F29/26/8*('SẢN XUẤTmới'!N29*0.5+'SẢN XUẤTmới'!O29*0.8)+'SẢN XUẤTmới'!Z29/2</f>
        <v>652524.0384615385</v>
      </c>
      <c r="F45" s="273">
        <f t="shared" si="1"/>
        <v>4031971.1538461535</v>
      </c>
      <c r="G45" s="214"/>
      <c r="H45" s="214"/>
      <c r="I45" s="273">
        <f t="shared" si="2"/>
        <v>0</v>
      </c>
      <c r="J45" s="273">
        <v>11000000</v>
      </c>
      <c r="K45" s="273">
        <f t="shared" si="3"/>
        <v>11000000</v>
      </c>
      <c r="L45" s="273">
        <f t="shared" si="4"/>
        <v>-6968028.846153846</v>
      </c>
      <c r="M45" s="204">
        <f t="shared" si="10"/>
        <v>0</v>
      </c>
    </row>
    <row r="46" spans="1:13" ht="15.75" x14ac:dyDescent="0.25">
      <c r="A46" s="199">
        <f t="shared" si="11"/>
        <v>35</v>
      </c>
      <c r="B46" s="72" t="s">
        <v>76</v>
      </c>
      <c r="C46" s="73" t="s">
        <v>77</v>
      </c>
      <c r="D46" s="132">
        <f>'SẢN XUẤTmới'!AH30</f>
        <v>4192427.884615384</v>
      </c>
      <c r="E46" s="132">
        <f>'SẢN XUẤTmới'!F30/26/8*('SẢN XUẤTmới'!N30*0.5+'SẢN XUẤTmới'!O30*0.8)+'SẢN XUẤTmới'!Z30/2</f>
        <v>374399.03846153844</v>
      </c>
      <c r="F46" s="273">
        <f t="shared" si="1"/>
        <v>3818028.8461538455</v>
      </c>
      <c r="G46" s="132"/>
      <c r="H46" s="132"/>
      <c r="I46" s="273">
        <f t="shared" si="2"/>
        <v>0</v>
      </c>
      <c r="J46" s="273">
        <v>11000000</v>
      </c>
      <c r="K46" s="273">
        <f t="shared" si="3"/>
        <v>11000000</v>
      </c>
      <c r="L46" s="273">
        <f t="shared" si="4"/>
        <v>-7181971.153846154</v>
      </c>
      <c r="M46" s="204">
        <f t="shared" si="10"/>
        <v>0</v>
      </c>
    </row>
    <row r="47" spans="1:13" ht="15.75" x14ac:dyDescent="0.25">
      <c r="A47" s="199">
        <f t="shared" si="11"/>
        <v>36</v>
      </c>
      <c r="B47" s="72" t="s">
        <v>78</v>
      </c>
      <c r="C47" s="73" t="s">
        <v>79</v>
      </c>
      <c r="D47" s="132">
        <f>'SẢN XUẤTmới'!AH31</f>
        <v>3374218.75</v>
      </c>
      <c r="E47" s="132">
        <f>'SẢN XUẤTmới'!F31/26/8*('SẢN XUẤTmới'!N31*0.5+'SẢN XUẤTmới'!O31*0.8)+'SẢN XUẤTmới'!Z31/2</f>
        <v>304867.7884615385</v>
      </c>
      <c r="F47" s="273">
        <f t="shared" si="1"/>
        <v>3069350.9615384615</v>
      </c>
      <c r="G47" s="132"/>
      <c r="H47" s="132"/>
      <c r="I47" s="273">
        <f t="shared" si="2"/>
        <v>0</v>
      </c>
      <c r="J47" s="273">
        <v>11000000</v>
      </c>
      <c r="K47" s="273">
        <f t="shared" si="3"/>
        <v>11000000</v>
      </c>
      <c r="L47" s="273">
        <f t="shared" si="4"/>
        <v>-7930649.038461538</v>
      </c>
      <c r="M47" s="204">
        <f t="shared" si="10"/>
        <v>0</v>
      </c>
    </row>
    <row r="48" spans="1:13" ht="15.75" x14ac:dyDescent="0.25">
      <c r="A48" s="199">
        <f t="shared" si="11"/>
        <v>37</v>
      </c>
      <c r="B48" s="72" t="s">
        <v>80</v>
      </c>
      <c r="C48" s="73" t="s">
        <v>81</v>
      </c>
      <c r="D48" s="132">
        <f>'SẢN XUẤTmới'!AH32</f>
        <v>3288641.826923077</v>
      </c>
      <c r="E48" s="132">
        <f>'SẢN XUẤTmới'!F32/26/8*('SẢN XUẤTmới'!N32*0.5+'SẢN XUẤTmới'!O32*0.8)+'SẢN XUẤTmới'!Z32/2</f>
        <v>219290.86538461538</v>
      </c>
      <c r="F48" s="273">
        <f t="shared" si="1"/>
        <v>3069350.9615384615</v>
      </c>
      <c r="G48" s="132"/>
      <c r="H48" s="132"/>
      <c r="I48" s="273">
        <f t="shared" si="2"/>
        <v>0</v>
      </c>
      <c r="J48" s="273">
        <v>11000000</v>
      </c>
      <c r="K48" s="273">
        <f t="shared" si="3"/>
        <v>11000000</v>
      </c>
      <c r="L48" s="273">
        <f t="shared" si="4"/>
        <v>-7930649.038461538</v>
      </c>
      <c r="M48" s="204">
        <f t="shared" si="10"/>
        <v>0</v>
      </c>
    </row>
    <row r="49" spans="1:13" ht="15.75" x14ac:dyDescent="0.25">
      <c r="A49" s="199">
        <f t="shared" si="11"/>
        <v>38</v>
      </c>
      <c r="B49" s="72" t="s">
        <v>82</v>
      </c>
      <c r="C49" s="73" t="s">
        <v>83</v>
      </c>
      <c r="D49" s="132">
        <f>'SẢN XUẤTmới'!AH33</f>
        <v>3352824.519230769</v>
      </c>
      <c r="E49" s="132">
        <f>'SẢN XUẤTmới'!F33/26/8*('SẢN XUẤTmới'!N33*0.5+'SẢN XUẤTmới'!O33*0.8)+'SẢN XUẤTmới'!Z33/2</f>
        <v>240685.09615384616</v>
      </c>
      <c r="F49" s="273">
        <f t="shared" si="1"/>
        <v>3112139.423076923</v>
      </c>
      <c r="G49" s="132"/>
      <c r="H49" s="132"/>
      <c r="I49" s="273">
        <f t="shared" si="2"/>
        <v>0</v>
      </c>
      <c r="J49" s="273">
        <v>11000000</v>
      </c>
      <c r="K49" s="273">
        <f t="shared" si="3"/>
        <v>11000000</v>
      </c>
      <c r="L49" s="273">
        <f t="shared" si="4"/>
        <v>-7887860.576923077</v>
      </c>
      <c r="M49" s="204">
        <f t="shared" si="10"/>
        <v>0</v>
      </c>
    </row>
    <row r="50" spans="1:13" ht="15.75" x14ac:dyDescent="0.25">
      <c r="A50" s="199">
        <f t="shared" si="11"/>
        <v>39</v>
      </c>
      <c r="B50" s="72" t="s">
        <v>84</v>
      </c>
      <c r="C50" s="73" t="s">
        <v>85</v>
      </c>
      <c r="D50" s="132">
        <f>'SẢN XUẤTmới'!AH34</f>
        <v>2310036.0576923075</v>
      </c>
      <c r="E50" s="132">
        <f>'SẢN XUẤTmới'!F34/26/8*('SẢN XUẤTmới'!N34*0.5+'SẢN XUẤTmới'!O34*0.8)+'SẢN XUẤTmới'!Z34/2</f>
        <v>112319.71153846155</v>
      </c>
      <c r="F50" s="273">
        <f t="shared" si="1"/>
        <v>2197716.346153846</v>
      </c>
      <c r="G50" s="132"/>
      <c r="H50" s="132"/>
      <c r="I50" s="273">
        <f t="shared" si="2"/>
        <v>0</v>
      </c>
      <c r="J50" s="273">
        <v>11000000</v>
      </c>
      <c r="K50" s="273">
        <f t="shared" si="3"/>
        <v>11000000</v>
      </c>
      <c r="L50" s="273">
        <f t="shared" si="4"/>
        <v>-8802283.653846154</v>
      </c>
      <c r="M50" s="204">
        <f t="shared" si="10"/>
        <v>0</v>
      </c>
    </row>
    <row r="51" spans="1:13" ht="15.75" x14ac:dyDescent="0.25">
      <c r="A51" s="199">
        <f t="shared" si="11"/>
        <v>40</v>
      </c>
      <c r="B51" s="72" t="s">
        <v>86</v>
      </c>
      <c r="C51" s="73" t="s">
        <v>87</v>
      </c>
      <c r="D51" s="132">
        <f>'SẢN XUẤTmới'!AH35</f>
        <v>2556129.807692308</v>
      </c>
      <c r="E51" s="132">
        <f>'SẢN XUẤTmới'!F35/26/8*('SẢN XUẤTmới'!N35*0.5+'SẢN XUẤTmới'!O35*0.8)+'SẢN XUẤTmới'!Z35/2</f>
        <v>267427.88461538462</v>
      </c>
      <c r="F51" s="273">
        <f t="shared" si="1"/>
        <v>2288701.9230769235</v>
      </c>
      <c r="G51" s="132"/>
      <c r="H51" s="132"/>
      <c r="I51" s="273">
        <f t="shared" si="2"/>
        <v>0</v>
      </c>
      <c r="J51" s="273">
        <v>11000000</v>
      </c>
      <c r="K51" s="273">
        <f t="shared" si="3"/>
        <v>11000000</v>
      </c>
      <c r="L51" s="273">
        <f t="shared" si="4"/>
        <v>-8711298.0769230761</v>
      </c>
      <c r="M51" s="204">
        <f t="shared" si="10"/>
        <v>0</v>
      </c>
    </row>
    <row r="52" spans="1:13" ht="15.75" x14ac:dyDescent="0.25">
      <c r="A52" s="199">
        <f t="shared" si="11"/>
        <v>41</v>
      </c>
      <c r="B52" s="72" t="s">
        <v>88</v>
      </c>
      <c r="C52" s="73" t="s">
        <v>89</v>
      </c>
      <c r="D52" s="132">
        <f>'SẢN XUẤTmới'!AH36</f>
        <v>2556129.807692308</v>
      </c>
      <c r="E52" s="132">
        <f>'SẢN XUẤTmới'!F36/26/8*('SẢN XUẤTmới'!N36*0.5+'SẢN XUẤTmới'!O36*0.8)+'SẢN XUẤTmới'!Z36/2</f>
        <v>267427.88461538462</v>
      </c>
      <c r="F52" s="273">
        <f t="shared" si="1"/>
        <v>2288701.9230769235</v>
      </c>
      <c r="G52" s="132"/>
      <c r="H52" s="132"/>
      <c r="I52" s="273">
        <f t="shared" si="2"/>
        <v>0</v>
      </c>
      <c r="J52" s="273">
        <v>11000000</v>
      </c>
      <c r="K52" s="273">
        <f t="shared" si="3"/>
        <v>11000000</v>
      </c>
      <c r="L52" s="273">
        <f t="shared" si="4"/>
        <v>-8711298.0769230761</v>
      </c>
      <c r="M52" s="204">
        <f t="shared" si="10"/>
        <v>0</v>
      </c>
    </row>
    <row r="53" spans="1:13" ht="15.75" x14ac:dyDescent="0.25">
      <c r="A53" s="199">
        <f t="shared" si="11"/>
        <v>42</v>
      </c>
      <c r="B53" s="72" t="s">
        <v>499</v>
      </c>
      <c r="C53" s="73" t="s">
        <v>482</v>
      </c>
      <c r="D53" s="132">
        <f>'SẢN XUẤTmới'!AH37</f>
        <v>1807632.2115384615</v>
      </c>
      <c r="E53" s="132">
        <f>'SẢN XUẤTmới'!F37/26/8*('SẢN XUẤTmới'!N37*0.5+'SẢN XUẤTmới'!O37*0.8)+'SẢN XUẤTmới'!Z37/2</f>
        <v>326262.01923076925</v>
      </c>
      <c r="F53" s="273">
        <f t="shared" si="1"/>
        <v>1481370.1923076923</v>
      </c>
      <c r="G53" s="132"/>
      <c r="H53" s="132"/>
      <c r="I53" s="273">
        <f t="shared" si="2"/>
        <v>0</v>
      </c>
      <c r="J53" s="273">
        <v>11000000</v>
      </c>
      <c r="K53" s="273">
        <f t="shared" si="3"/>
        <v>11000000</v>
      </c>
      <c r="L53" s="273">
        <f t="shared" si="4"/>
        <v>-9518629.807692308</v>
      </c>
      <c r="M53" s="204">
        <f t="shared" si="10"/>
        <v>0</v>
      </c>
    </row>
    <row r="54" spans="1:13" ht="15.75" x14ac:dyDescent="0.25">
      <c r="A54" s="199">
        <f t="shared" si="11"/>
        <v>43</v>
      </c>
      <c r="B54" s="72" t="s">
        <v>315</v>
      </c>
      <c r="C54" s="73" t="s">
        <v>316</v>
      </c>
      <c r="D54" s="132">
        <f>'SẢN XUẤTmới'!AH38</f>
        <v>2200000</v>
      </c>
      <c r="E54" s="132">
        <f>'SẢN XUẤTmới'!F38/26/8*('SẢN XUẤTmới'!N38*0.5+'SẢN XUẤTmới'!O38*0.8)+'SẢN XUẤTmới'!Z38/2</f>
        <v>0</v>
      </c>
      <c r="F54" s="273">
        <f t="shared" si="1"/>
        <v>2200000</v>
      </c>
      <c r="G54" s="132"/>
      <c r="H54" s="132"/>
      <c r="I54" s="273">
        <f t="shared" si="2"/>
        <v>0</v>
      </c>
      <c r="J54" s="273">
        <v>11000000</v>
      </c>
      <c r="K54" s="273">
        <f t="shared" si="3"/>
        <v>11000000</v>
      </c>
      <c r="L54" s="273">
        <f t="shared" si="4"/>
        <v>-8800000</v>
      </c>
      <c r="M54" s="204">
        <f t="shared" si="10"/>
        <v>0</v>
      </c>
    </row>
    <row r="55" spans="1:13" ht="15.75" x14ac:dyDescent="0.25">
      <c r="A55" s="290" t="s">
        <v>518</v>
      </c>
      <c r="B55" s="290"/>
      <c r="C55" s="290"/>
      <c r="D55" s="282">
        <f>SUBTOTAL(9,D56:D60)</f>
        <v>62125793.269230768</v>
      </c>
      <c r="E55" s="282">
        <f t="shared" ref="E55:M55" si="12">SUBTOTAL(9,E56:E60)</f>
        <v>7371995.192307693</v>
      </c>
      <c r="F55" s="282">
        <f t="shared" si="12"/>
        <v>54753798.076923072</v>
      </c>
      <c r="G55" s="282">
        <f t="shared" si="12"/>
        <v>0</v>
      </c>
      <c r="H55" s="282">
        <f t="shared" si="12"/>
        <v>0</v>
      </c>
      <c r="I55" s="282">
        <f t="shared" si="12"/>
        <v>0</v>
      </c>
      <c r="J55" s="282">
        <f t="shared" si="12"/>
        <v>55000000</v>
      </c>
      <c r="K55" s="282">
        <f t="shared" si="12"/>
        <v>55000000</v>
      </c>
      <c r="L55" s="282">
        <f t="shared" si="12"/>
        <v>-246201.92307692207</v>
      </c>
      <c r="M55" s="282">
        <f t="shared" si="12"/>
        <v>46947.115384615405</v>
      </c>
    </row>
    <row r="56" spans="1:13" ht="15.75" x14ac:dyDescent="0.25">
      <c r="A56" s="199">
        <v>44</v>
      </c>
      <c r="B56" s="72" t="s">
        <v>90</v>
      </c>
      <c r="C56" s="73" t="s">
        <v>91</v>
      </c>
      <c r="D56" s="132">
        <f>'SẢN XUẤTmới'!AH40</f>
        <v>13425432.692307692</v>
      </c>
      <c r="E56" s="132">
        <f>'SẢN XUẤTmới'!F40/26/8*('SẢN XUẤTmới'!N40*0.5+'SẢN XUẤTmới'!O40*0.8)+'SẢN XUẤTmới'!Z40/2</f>
        <v>1524951.923076923</v>
      </c>
      <c r="F56" s="273">
        <f t="shared" si="1"/>
        <v>11900480.769230768</v>
      </c>
      <c r="G56" s="132"/>
      <c r="H56" s="132"/>
      <c r="I56" s="273">
        <f t="shared" si="2"/>
        <v>0</v>
      </c>
      <c r="J56" s="273">
        <v>11000000</v>
      </c>
      <c r="K56" s="273">
        <f t="shared" si="3"/>
        <v>11000000</v>
      </c>
      <c r="L56" s="273">
        <f t="shared" si="4"/>
        <v>900480.76923076808</v>
      </c>
      <c r="M56" s="204">
        <f t="shared" ref="M56:M60" si="13">IF($A56="",0,IF(L56&lt;=0,0,IF(L56&lt;=5000000,L56*$M$3,IF(L56&lt;=10000000,$M$2*$M$3+(L56-$M$2)*$N$3,IF(L56&lt;18000000,$M$2*$M$3+$M$2*$N$3+(L56-$N$2)*$O$3,IF(L56&lt;=32000000,$M$2*$M$3+$M$2*$N$3+$O$2*$O$3+(L56-$P$2)*$P$3))))))</f>
        <v>45024.03846153841</v>
      </c>
    </row>
    <row r="57" spans="1:13" ht="15.75" x14ac:dyDescent="0.25">
      <c r="A57" s="199">
        <f>A56+1</f>
        <v>45</v>
      </c>
      <c r="B57" s="72" t="s">
        <v>92</v>
      </c>
      <c r="C57" s="73" t="s">
        <v>93</v>
      </c>
      <c r="D57" s="132">
        <f>'SẢN XUẤTmới'!AH41</f>
        <v>12251141.826923076</v>
      </c>
      <c r="E57" s="132">
        <f>'SẢN XUẤTmới'!F41/26/8*('SẢN XUẤTmới'!N41*0.5+'SẢN XUẤTmới'!O41*0.8)+'SẢN XUẤTmới'!Z41/2</f>
        <v>1428064.903846154</v>
      </c>
      <c r="F57" s="273">
        <f t="shared" si="1"/>
        <v>10823076.923076922</v>
      </c>
      <c r="G57" s="132"/>
      <c r="H57" s="132"/>
      <c r="I57" s="273">
        <f t="shared" si="2"/>
        <v>0</v>
      </c>
      <c r="J57" s="273">
        <v>11000000</v>
      </c>
      <c r="K57" s="273">
        <f t="shared" si="3"/>
        <v>11000000</v>
      </c>
      <c r="L57" s="273">
        <f t="shared" si="4"/>
        <v>-176923.07692307793</v>
      </c>
      <c r="M57" s="204">
        <f t="shared" si="13"/>
        <v>0</v>
      </c>
    </row>
    <row r="58" spans="1:13" ht="15.75" x14ac:dyDescent="0.25">
      <c r="A58" s="199">
        <f t="shared" ref="A58:A60" si="14">A57+1</f>
        <v>46</v>
      </c>
      <c r="B58" s="72" t="s">
        <v>94</v>
      </c>
      <c r="C58" s="73" t="s">
        <v>475</v>
      </c>
      <c r="D58" s="132">
        <f>'SẢN XUẤTmới'!AH42</f>
        <v>11373052.884615386</v>
      </c>
      <c r="E58" s="132">
        <f>'SẢN XUẤTmới'!F42/26/8*('SẢN XUẤTmới'!N42*0.5+'SẢN XUẤTmới'!O42*0.8)+'SẢN XUẤTmới'!Z42/2</f>
        <v>1099663.4615384615</v>
      </c>
      <c r="F58" s="273">
        <f t="shared" si="1"/>
        <v>10273389.423076924</v>
      </c>
      <c r="G58" s="132"/>
      <c r="H58" s="132"/>
      <c r="I58" s="273">
        <f t="shared" si="2"/>
        <v>0</v>
      </c>
      <c r="J58" s="273">
        <v>11000000</v>
      </c>
      <c r="K58" s="273">
        <f t="shared" si="3"/>
        <v>11000000</v>
      </c>
      <c r="L58" s="273">
        <f t="shared" si="4"/>
        <v>-726610.57692307606</v>
      </c>
      <c r="M58" s="204">
        <f t="shared" si="13"/>
        <v>0</v>
      </c>
    </row>
    <row r="59" spans="1:13" ht="15.75" x14ac:dyDescent="0.25">
      <c r="A59" s="199">
        <f t="shared" si="14"/>
        <v>47</v>
      </c>
      <c r="B59" s="72" t="s">
        <v>96</v>
      </c>
      <c r="C59" s="73" t="s">
        <v>97</v>
      </c>
      <c r="D59" s="132">
        <f>'SẢN XUẤTmới'!AH43</f>
        <v>12148593.750000002</v>
      </c>
      <c r="E59" s="132">
        <f>'SẢN XUẤTmới'!F43/26/8*('SẢN XUẤTmới'!N43*0.5+'SẢN XUẤTmới'!O43*0.8)+'SẢN XUẤTmới'!Z43/2</f>
        <v>1430204.326923077</v>
      </c>
      <c r="F59" s="273">
        <f t="shared" si="1"/>
        <v>10718389.423076924</v>
      </c>
      <c r="G59" s="132"/>
      <c r="H59" s="132"/>
      <c r="I59" s="273">
        <f t="shared" si="2"/>
        <v>0</v>
      </c>
      <c r="J59" s="273">
        <v>11000000</v>
      </c>
      <c r="K59" s="273">
        <f t="shared" si="3"/>
        <v>11000000</v>
      </c>
      <c r="L59" s="273">
        <f t="shared" si="4"/>
        <v>-281610.57692307606</v>
      </c>
      <c r="M59" s="204">
        <f t="shared" si="13"/>
        <v>0</v>
      </c>
    </row>
    <row r="60" spans="1:13" ht="15.75" x14ac:dyDescent="0.25">
      <c r="A60" s="199">
        <f t="shared" si="14"/>
        <v>48</v>
      </c>
      <c r="B60" s="72" t="s">
        <v>98</v>
      </c>
      <c r="C60" s="73" t="s">
        <v>99</v>
      </c>
      <c r="D60" s="132">
        <f>'SẢN XUẤTmới'!AH44</f>
        <v>12927572.115384616</v>
      </c>
      <c r="E60" s="132">
        <f>'SẢN XUẤTmới'!F44/26/8*('SẢN XUẤTmới'!N44*0.5+'SẢN XUẤTmới'!O44*0.8)+'SẢN XUẤTmới'!Z44/2</f>
        <v>1889110.5769230768</v>
      </c>
      <c r="F60" s="273">
        <f t="shared" si="1"/>
        <v>11038461.53846154</v>
      </c>
      <c r="G60" s="132"/>
      <c r="H60" s="132"/>
      <c r="I60" s="273">
        <f t="shared" si="2"/>
        <v>0</v>
      </c>
      <c r="J60" s="273">
        <v>11000000</v>
      </c>
      <c r="K60" s="273">
        <f t="shared" si="3"/>
        <v>11000000</v>
      </c>
      <c r="L60" s="273">
        <f t="shared" si="4"/>
        <v>38461.538461539894</v>
      </c>
      <c r="M60" s="204">
        <f t="shared" si="13"/>
        <v>1923.0769230769947</v>
      </c>
    </row>
    <row r="61" spans="1:13" ht="15" customHeight="1" x14ac:dyDescent="0.25">
      <c r="A61" s="291" t="s">
        <v>519</v>
      </c>
      <c r="B61" s="291"/>
      <c r="C61" s="291"/>
      <c r="D61" s="282">
        <f>SUBTOTAL(9,D62:D104)</f>
        <v>256820276.44230765</v>
      </c>
      <c r="E61" s="282">
        <f t="shared" ref="E61:M61" si="15">SUBTOTAL(9,E62:E104)</f>
        <v>34684326.923076928</v>
      </c>
      <c r="F61" s="282">
        <f t="shared" si="15"/>
        <v>222135949.51923081</v>
      </c>
      <c r="G61" s="282">
        <f t="shared" si="15"/>
        <v>0</v>
      </c>
      <c r="H61" s="282">
        <f t="shared" si="15"/>
        <v>0</v>
      </c>
      <c r="I61" s="282">
        <f t="shared" si="15"/>
        <v>0</v>
      </c>
      <c r="J61" s="282">
        <f t="shared" si="15"/>
        <v>473000000</v>
      </c>
      <c r="K61" s="282">
        <f t="shared" si="15"/>
        <v>473000000</v>
      </c>
      <c r="L61" s="282">
        <f t="shared" si="15"/>
        <v>-250864050.48076919</v>
      </c>
      <c r="M61" s="282">
        <f t="shared" si="15"/>
        <v>42409.855769230802</v>
      </c>
    </row>
    <row r="62" spans="1:13" ht="15.75" x14ac:dyDescent="0.25">
      <c r="A62" s="212">
        <v>49</v>
      </c>
      <c r="B62" s="72" t="s">
        <v>346</v>
      </c>
      <c r="C62" s="73" t="s">
        <v>347</v>
      </c>
      <c r="D62" s="132">
        <f>'SẢN XUẤTmới'!AH46</f>
        <v>14044314.903846154</v>
      </c>
      <c r="E62" s="132">
        <f>'SẢN XUẤTmới'!F46/26/8*('SẢN XUẤTmới'!N46*0.5+'SẢN XUẤTmới'!O46*0.8)+'SẢN XUẤTmới'!Z46/2</f>
        <v>2196117.7884615385</v>
      </c>
      <c r="F62" s="273">
        <f t="shared" si="1"/>
        <v>11848197.115384616</v>
      </c>
      <c r="G62" s="132"/>
      <c r="H62" s="132"/>
      <c r="I62" s="273">
        <f t="shared" si="2"/>
        <v>0</v>
      </c>
      <c r="J62" s="273">
        <v>11000000</v>
      </c>
      <c r="K62" s="273">
        <f t="shared" si="3"/>
        <v>11000000</v>
      </c>
      <c r="L62" s="273">
        <f t="shared" si="4"/>
        <v>848197.11538461596</v>
      </c>
      <c r="M62" s="204">
        <f t="shared" ref="M62:M104" si="16">IF($A62="",0,IF(L62&lt;=0,0,IF(L62&lt;=5000000,L62*$M$3,IF(L62&lt;=10000000,$M$2*$M$3+(L62-$M$2)*$N$3,IF(L62&lt;18000000,$M$2*$M$3+$M$2*$N$3+(L62-$N$2)*$O$3,IF(L62&lt;=32000000,$M$2*$M$3+$M$2*$N$3+$O$2*$O$3+(L62-$P$2)*$P$3))))))</f>
        <v>42409.855769230802</v>
      </c>
    </row>
    <row r="63" spans="1:13" ht="15.75" x14ac:dyDescent="0.25">
      <c r="A63" s="212">
        <f>A62+1</f>
        <v>50</v>
      </c>
      <c r="B63" s="72" t="s">
        <v>106</v>
      </c>
      <c r="C63" s="73" t="s">
        <v>107</v>
      </c>
      <c r="D63" s="132">
        <f>'SẢN XUẤTmới'!AH47</f>
        <v>11824314.903846154</v>
      </c>
      <c r="E63" s="132">
        <f>'SẢN XUẤTmới'!F47/26/8*('SẢN XUẤTmới'!N47*0.5+'SẢN XUẤTmới'!O47*0.8)+'SẢN XUẤTmới'!Z47/2</f>
        <v>1847391.826923077</v>
      </c>
      <c r="F63" s="273">
        <f t="shared" si="1"/>
        <v>9976923.0769230761</v>
      </c>
      <c r="G63" s="132"/>
      <c r="H63" s="132"/>
      <c r="I63" s="273">
        <f t="shared" si="2"/>
        <v>0</v>
      </c>
      <c r="J63" s="273">
        <v>11000000</v>
      </c>
      <c r="K63" s="273">
        <f t="shared" si="3"/>
        <v>11000000</v>
      </c>
      <c r="L63" s="273">
        <f t="shared" si="4"/>
        <v>-1023076.9230769239</v>
      </c>
      <c r="M63" s="204">
        <f t="shared" si="16"/>
        <v>0</v>
      </c>
    </row>
    <row r="64" spans="1:13" ht="15.75" x14ac:dyDescent="0.25">
      <c r="A64" s="212">
        <f t="shared" ref="A64:A104" si="17">A63+1</f>
        <v>51</v>
      </c>
      <c r="B64" s="72" t="s">
        <v>108</v>
      </c>
      <c r="C64" s="73" t="s">
        <v>109</v>
      </c>
      <c r="D64" s="132">
        <f>'SẢN XUẤTmới'!AH48</f>
        <v>12741586.53846154</v>
      </c>
      <c r="E64" s="132">
        <f>'SẢN XUẤTmới'!F48/26/8*('SẢN XUẤTmới'!N48*0.5+'SẢN XUẤTmới'!O48*0.8)+'SẢN XUẤTmới'!Z48/2</f>
        <v>2075240.3846153845</v>
      </c>
      <c r="F64" s="273">
        <f t="shared" si="1"/>
        <v>10666346.153846156</v>
      </c>
      <c r="G64" s="132"/>
      <c r="H64" s="132"/>
      <c r="I64" s="273">
        <f t="shared" si="2"/>
        <v>0</v>
      </c>
      <c r="J64" s="273">
        <v>11000000</v>
      </c>
      <c r="K64" s="273">
        <f t="shared" si="3"/>
        <v>11000000</v>
      </c>
      <c r="L64" s="273">
        <f t="shared" si="4"/>
        <v>-333653.84615384415</v>
      </c>
      <c r="M64" s="204">
        <f t="shared" si="16"/>
        <v>0</v>
      </c>
    </row>
    <row r="65" spans="1:13" ht="15.75" x14ac:dyDescent="0.25">
      <c r="A65" s="212">
        <f t="shared" si="17"/>
        <v>52</v>
      </c>
      <c r="B65" s="72" t="s">
        <v>110</v>
      </c>
      <c r="C65" s="73" t="s">
        <v>111</v>
      </c>
      <c r="D65" s="132">
        <f>'SẢN XUẤTmới'!AH49</f>
        <v>8920612.9807692301</v>
      </c>
      <c r="E65" s="132">
        <f>'SẢN XUẤTmới'!F49/26/8*('SẢN XUẤTmới'!N49*0.5+'SẢN XUẤTmới'!O49*0.8)+'SẢN XUẤTmới'!Z49/2</f>
        <v>540204.32692307688</v>
      </c>
      <c r="F65" s="273">
        <f t="shared" si="1"/>
        <v>8380408.6538461531</v>
      </c>
      <c r="G65" s="132"/>
      <c r="H65" s="132"/>
      <c r="I65" s="273">
        <f t="shared" si="2"/>
        <v>0</v>
      </c>
      <c r="J65" s="273">
        <v>11000000</v>
      </c>
      <c r="K65" s="273">
        <f t="shared" si="3"/>
        <v>11000000</v>
      </c>
      <c r="L65" s="273">
        <f t="shared" si="4"/>
        <v>-2619591.3461538469</v>
      </c>
      <c r="M65" s="204">
        <f t="shared" si="16"/>
        <v>0</v>
      </c>
    </row>
    <row r="66" spans="1:13" ht="15.75" x14ac:dyDescent="0.25">
      <c r="A66" s="212">
        <f t="shared" si="17"/>
        <v>53</v>
      </c>
      <c r="B66" s="72" t="s">
        <v>112</v>
      </c>
      <c r="C66" s="73" t="s">
        <v>113</v>
      </c>
      <c r="D66" s="132">
        <f>'SẢN XUẤTmới'!AH50</f>
        <v>11679098.557692306</v>
      </c>
      <c r="E66" s="132">
        <f>'SẢN XUẤTmới'!F50/26/8*('SẢN XUẤTmới'!N50*0.5+'SẢN XUẤTmới'!O50*0.8)+'SẢN XUẤTmới'!Z50/2</f>
        <v>1695492.7884615385</v>
      </c>
      <c r="F66" s="273">
        <f t="shared" si="1"/>
        <v>9983605.7692307681</v>
      </c>
      <c r="G66" s="132"/>
      <c r="H66" s="132"/>
      <c r="I66" s="273">
        <f t="shared" si="2"/>
        <v>0</v>
      </c>
      <c r="J66" s="273">
        <v>11000000</v>
      </c>
      <c r="K66" s="273">
        <f t="shared" si="3"/>
        <v>11000000</v>
      </c>
      <c r="L66" s="273">
        <f t="shared" si="4"/>
        <v>-1016394.2307692319</v>
      </c>
      <c r="M66" s="204">
        <f t="shared" si="16"/>
        <v>0</v>
      </c>
    </row>
    <row r="67" spans="1:13" ht="15.75" x14ac:dyDescent="0.25">
      <c r="A67" s="212">
        <f t="shared" si="17"/>
        <v>54</v>
      </c>
      <c r="B67" s="72" t="s">
        <v>114</v>
      </c>
      <c r="C67" s="73" t="s">
        <v>115</v>
      </c>
      <c r="D67" s="132">
        <f>'SẢN XUẤTmới'!AH51</f>
        <v>9660552.884615384</v>
      </c>
      <c r="E67" s="132">
        <f>'SẢN XUẤTmới'!F51/26/8*('SẢN XUẤTmới'!N51*0.5+'SẢN XUẤTmới'!O51*0.8)+'SẢN XUẤTmới'!Z51/2</f>
        <v>1392764.4230769232</v>
      </c>
      <c r="F67" s="273">
        <f t="shared" si="1"/>
        <v>8267788.461538461</v>
      </c>
      <c r="G67" s="132"/>
      <c r="H67" s="132"/>
      <c r="I67" s="273">
        <f t="shared" si="2"/>
        <v>0</v>
      </c>
      <c r="J67" s="273">
        <v>11000000</v>
      </c>
      <c r="K67" s="273">
        <f t="shared" si="3"/>
        <v>11000000</v>
      </c>
      <c r="L67" s="273">
        <f t="shared" si="4"/>
        <v>-2732211.538461539</v>
      </c>
      <c r="M67" s="204">
        <f t="shared" si="16"/>
        <v>0</v>
      </c>
    </row>
    <row r="68" spans="1:13" ht="15.75" x14ac:dyDescent="0.25">
      <c r="A68" s="212">
        <f t="shared" si="17"/>
        <v>55</v>
      </c>
      <c r="B68" s="72" t="s">
        <v>116</v>
      </c>
      <c r="C68" s="73" t="s">
        <v>117</v>
      </c>
      <c r="D68" s="132">
        <f>'SẢN XUẤTmới'!AH52</f>
        <v>9152728.365384616</v>
      </c>
      <c r="E68" s="132">
        <f>'SẢN XUẤTmới'!F52/26/8*('SẢN XUẤTmới'!N52*0.5+'SẢN XUẤTmới'!O52*0.8)+'SẢN XUẤTmới'!Z52/2</f>
        <v>1329651.4423076923</v>
      </c>
      <c r="F68" s="273">
        <f t="shared" si="1"/>
        <v>7823076.9230769239</v>
      </c>
      <c r="G68" s="132"/>
      <c r="H68" s="132"/>
      <c r="I68" s="273">
        <f t="shared" si="2"/>
        <v>0</v>
      </c>
      <c r="J68" s="273">
        <v>11000000</v>
      </c>
      <c r="K68" s="273">
        <f t="shared" si="3"/>
        <v>11000000</v>
      </c>
      <c r="L68" s="273">
        <f t="shared" si="4"/>
        <v>-3176923.0769230761</v>
      </c>
      <c r="M68" s="204">
        <f t="shared" si="16"/>
        <v>0</v>
      </c>
    </row>
    <row r="69" spans="1:13" ht="15.75" x14ac:dyDescent="0.25">
      <c r="A69" s="212">
        <f t="shared" si="17"/>
        <v>56</v>
      </c>
      <c r="B69" s="72" t="s">
        <v>118</v>
      </c>
      <c r="C69" s="73" t="s">
        <v>119</v>
      </c>
      <c r="D69" s="132">
        <f>'SẢN XUẤTmới'!AH53</f>
        <v>9592091.346153846</v>
      </c>
      <c r="E69" s="132">
        <f>'SẢN XUẤTmới'!F53/26/8*('SẢN XUẤTmới'!N53*0.5+'SẢN XUẤTmới'!O53*0.8)+'SẢN XUẤTmới'!Z53/2</f>
        <v>1409879.8076923077</v>
      </c>
      <c r="F69" s="273">
        <f t="shared" si="1"/>
        <v>8182211.538461538</v>
      </c>
      <c r="G69" s="132"/>
      <c r="H69" s="132"/>
      <c r="I69" s="273">
        <f t="shared" si="2"/>
        <v>0</v>
      </c>
      <c r="J69" s="273">
        <v>11000000</v>
      </c>
      <c r="K69" s="273">
        <f t="shared" si="3"/>
        <v>11000000</v>
      </c>
      <c r="L69" s="273">
        <f t="shared" si="4"/>
        <v>-2817788.461538462</v>
      </c>
      <c r="M69" s="204">
        <f t="shared" si="16"/>
        <v>0</v>
      </c>
    </row>
    <row r="70" spans="1:13" ht="15.75" x14ac:dyDescent="0.25">
      <c r="A70" s="212">
        <f t="shared" si="17"/>
        <v>57</v>
      </c>
      <c r="B70" s="72" t="s">
        <v>120</v>
      </c>
      <c r="C70" s="73" t="s">
        <v>515</v>
      </c>
      <c r="D70" s="132">
        <f>'SẢN XUẤTmới'!AH54</f>
        <v>8101983.173076923</v>
      </c>
      <c r="E70" s="132">
        <f>'SẢN XUẤTmới'!F54/26/8*('SẢN XUẤTmới'!N54*0.5+'SẢN XUẤTmới'!O54*0.8)+'SẢN XUẤTmới'!Z54/2</f>
        <v>700661.05769230775</v>
      </c>
      <c r="F70" s="273">
        <f t="shared" si="1"/>
        <v>7401322.115384615</v>
      </c>
      <c r="G70" s="132"/>
      <c r="H70" s="132"/>
      <c r="I70" s="273">
        <f t="shared" si="2"/>
        <v>0</v>
      </c>
      <c r="J70" s="273">
        <v>11000000</v>
      </c>
      <c r="K70" s="273">
        <f t="shared" si="3"/>
        <v>11000000</v>
      </c>
      <c r="L70" s="273">
        <f t="shared" si="4"/>
        <v>-3598677.884615385</v>
      </c>
      <c r="M70" s="204">
        <f t="shared" si="16"/>
        <v>0</v>
      </c>
    </row>
    <row r="71" spans="1:13" ht="15.75" x14ac:dyDescent="0.25">
      <c r="A71" s="212">
        <f t="shared" si="17"/>
        <v>58</v>
      </c>
      <c r="B71" s="72" t="s">
        <v>122</v>
      </c>
      <c r="C71" s="73" t="s">
        <v>123</v>
      </c>
      <c r="D71" s="132">
        <f>'SẢN XUẤTmới'!AH55</f>
        <v>9130048.0769230761</v>
      </c>
      <c r="E71" s="132">
        <f>'SẢN XUẤTmới'!F55/26/8*('SẢN XUẤTmới'!N55*0.5+'SẢN XUẤTmới'!O55*0.8)+'SẢN XUẤTmới'!Z55/2</f>
        <v>807632.21153846162</v>
      </c>
      <c r="F71" s="273">
        <f t="shared" si="1"/>
        <v>8322415.8653846141</v>
      </c>
      <c r="G71" s="132"/>
      <c r="H71" s="132"/>
      <c r="I71" s="273">
        <f t="shared" si="2"/>
        <v>0</v>
      </c>
      <c r="J71" s="273">
        <v>11000000</v>
      </c>
      <c r="K71" s="273">
        <f t="shared" si="3"/>
        <v>11000000</v>
      </c>
      <c r="L71" s="273">
        <f t="shared" si="4"/>
        <v>-2677584.1346153859</v>
      </c>
      <c r="M71" s="204">
        <f t="shared" si="16"/>
        <v>0</v>
      </c>
    </row>
    <row r="72" spans="1:13" ht="15.75" x14ac:dyDescent="0.25">
      <c r="A72" s="212">
        <f t="shared" si="17"/>
        <v>59</v>
      </c>
      <c r="B72" s="72" t="s">
        <v>124</v>
      </c>
      <c r="C72" s="73" t="s">
        <v>125</v>
      </c>
      <c r="D72" s="132">
        <f>'SẢN XUẤTmới'!AH56</f>
        <v>5929687.5000000009</v>
      </c>
      <c r="E72" s="132">
        <f>'SẢN XUẤTmới'!F56/26/8*('SẢN XUẤTmới'!N56*0.5+'SẢN XUẤTmới'!O56*0.8)+'SẢN XUẤTmới'!Z56/2</f>
        <v>53485.576923076922</v>
      </c>
      <c r="F72" s="273">
        <f t="shared" si="1"/>
        <v>5876201.9230769239</v>
      </c>
      <c r="G72" s="132"/>
      <c r="H72" s="132"/>
      <c r="I72" s="273">
        <f t="shared" si="2"/>
        <v>0</v>
      </c>
      <c r="J72" s="273">
        <v>11000000</v>
      </c>
      <c r="K72" s="273">
        <f t="shared" si="3"/>
        <v>11000000</v>
      </c>
      <c r="L72" s="273">
        <f t="shared" si="4"/>
        <v>-5123798.0769230761</v>
      </c>
      <c r="M72" s="204">
        <f t="shared" si="16"/>
        <v>0</v>
      </c>
    </row>
    <row r="73" spans="1:13" ht="15.75" x14ac:dyDescent="0.25">
      <c r="A73" s="212">
        <f t="shared" si="17"/>
        <v>60</v>
      </c>
      <c r="B73" s="72" t="s">
        <v>126</v>
      </c>
      <c r="C73" s="73" t="s">
        <v>127</v>
      </c>
      <c r="D73" s="132">
        <f>'SẢN XUẤTmới'!AH57</f>
        <v>9580252.4038461521</v>
      </c>
      <c r="E73" s="132">
        <f>'SẢN XUẤTmới'!F57/26/8*('SẢN XUẤTmới'!N57*0.5+'SẢN XUẤTmới'!O57*0.8)+'SẢN XUẤTmới'!Z57/2</f>
        <v>1308257.2115384615</v>
      </c>
      <c r="F73" s="273">
        <f t="shared" si="1"/>
        <v>8271995.1923076902</v>
      </c>
      <c r="G73" s="132"/>
      <c r="H73" s="132"/>
      <c r="I73" s="273">
        <f t="shared" si="2"/>
        <v>0</v>
      </c>
      <c r="J73" s="273">
        <v>11000000</v>
      </c>
      <c r="K73" s="273">
        <f t="shared" si="3"/>
        <v>11000000</v>
      </c>
      <c r="L73" s="273">
        <f t="shared" si="4"/>
        <v>-2728004.8076923098</v>
      </c>
      <c r="M73" s="204">
        <f t="shared" si="16"/>
        <v>0</v>
      </c>
    </row>
    <row r="74" spans="1:13" ht="15.75" x14ac:dyDescent="0.25">
      <c r="A74" s="212">
        <f t="shared" si="17"/>
        <v>61</v>
      </c>
      <c r="B74" s="72" t="s">
        <v>476</v>
      </c>
      <c r="C74" s="73" t="s">
        <v>477</v>
      </c>
      <c r="D74" s="132">
        <f>'SẢN XUẤTmới'!AH58</f>
        <v>6309603.3653846141</v>
      </c>
      <c r="E74" s="132">
        <f>'SẢN XUẤTmới'!F58/26/8*('SẢN XUẤTmới'!N58*0.5+'SẢN XUẤTmới'!O58*0.8)+'SẢN XUẤTmới'!Z58/2</f>
        <v>921021.63461538474</v>
      </c>
      <c r="F74" s="273">
        <f t="shared" ref="F74:F112" si="18">D74-E74</f>
        <v>5388581.7307692291</v>
      </c>
      <c r="G74" s="132"/>
      <c r="H74" s="132"/>
      <c r="I74" s="273">
        <f t="shared" ref="I74:I112" si="19">H74*4400000</f>
        <v>0</v>
      </c>
      <c r="J74" s="273">
        <v>11000000</v>
      </c>
      <c r="K74" s="273">
        <f t="shared" ref="K74:K112" si="20">J74+I74+G74</f>
        <v>11000000</v>
      </c>
      <c r="L74" s="273">
        <f t="shared" ref="L74:L112" si="21">F74-K74</f>
        <v>-5611418.2692307709</v>
      </c>
      <c r="M74" s="204">
        <f t="shared" si="16"/>
        <v>0</v>
      </c>
    </row>
    <row r="75" spans="1:13" ht="15.75" x14ac:dyDescent="0.25">
      <c r="A75" s="212">
        <f t="shared" si="17"/>
        <v>62</v>
      </c>
      <c r="B75" s="72" t="s">
        <v>128</v>
      </c>
      <c r="C75" s="73" t="s">
        <v>129</v>
      </c>
      <c r="D75" s="132">
        <f>'SẢN XUẤTmới'!AH59</f>
        <v>6665444.711538462</v>
      </c>
      <c r="E75" s="132">
        <f>'SẢN XUẤTmới'!F59/26/8*('SẢN XUẤTmới'!N59*0.5+'SẢN XUẤTmới'!O59*0.8)+'SẢN XUẤTmới'!Z59/2</f>
        <v>529507.2115384615</v>
      </c>
      <c r="F75" s="273">
        <f t="shared" si="18"/>
        <v>6135937.5</v>
      </c>
      <c r="G75" s="132"/>
      <c r="H75" s="132"/>
      <c r="I75" s="273">
        <f t="shared" si="19"/>
        <v>0</v>
      </c>
      <c r="J75" s="273">
        <v>11000000</v>
      </c>
      <c r="K75" s="273">
        <f t="shared" si="20"/>
        <v>11000000</v>
      </c>
      <c r="L75" s="273">
        <f t="shared" si="21"/>
        <v>-4864062.5</v>
      </c>
      <c r="M75" s="204">
        <f t="shared" si="16"/>
        <v>0</v>
      </c>
    </row>
    <row r="76" spans="1:13" ht="15.75" x14ac:dyDescent="0.25">
      <c r="A76" s="212">
        <f t="shared" si="17"/>
        <v>63</v>
      </c>
      <c r="B76" s="72" t="s">
        <v>130</v>
      </c>
      <c r="C76" s="73" t="s">
        <v>131</v>
      </c>
      <c r="D76" s="132">
        <f>'SẢN XUẤTmới'!AH60</f>
        <v>9619699.5192307699</v>
      </c>
      <c r="E76" s="132">
        <f>'SẢN XUẤTmới'!F60/26/8*('SẢN XUẤTmới'!N60*0.5+'SẢN XUẤTmới'!O60*0.8)+'SẢN XUẤTmới'!Z60/2</f>
        <v>1680516.826923077</v>
      </c>
      <c r="F76" s="273">
        <f t="shared" si="18"/>
        <v>7939182.692307693</v>
      </c>
      <c r="G76" s="132"/>
      <c r="H76" s="132"/>
      <c r="I76" s="273">
        <f t="shared" si="19"/>
        <v>0</v>
      </c>
      <c r="J76" s="273">
        <v>11000000</v>
      </c>
      <c r="K76" s="273">
        <f t="shared" si="20"/>
        <v>11000000</v>
      </c>
      <c r="L76" s="273">
        <f t="shared" si="21"/>
        <v>-3060817.307692307</v>
      </c>
      <c r="M76" s="204">
        <f t="shared" si="16"/>
        <v>0</v>
      </c>
    </row>
    <row r="77" spans="1:13" ht="15.75" x14ac:dyDescent="0.25">
      <c r="A77" s="212">
        <f t="shared" si="17"/>
        <v>64</v>
      </c>
      <c r="B77" s="72" t="s">
        <v>132</v>
      </c>
      <c r="C77" s="73" t="s">
        <v>133</v>
      </c>
      <c r="D77" s="132">
        <f>'SẢN XUẤTmới'!AH61</f>
        <v>9651502.4038461521</v>
      </c>
      <c r="E77" s="132">
        <f>'SẢN XUẤTmới'!F61/26/8*('SẢN XUẤTmới'!N61*0.5+'SẢN XUẤTmới'!O61*0.8)+'SẢN XUẤTmới'!Z61/2</f>
        <v>1609915.8653846155</v>
      </c>
      <c r="F77" s="273">
        <f t="shared" si="18"/>
        <v>8041586.5384615362</v>
      </c>
      <c r="G77" s="132"/>
      <c r="H77" s="132"/>
      <c r="I77" s="273">
        <f t="shared" si="19"/>
        <v>0</v>
      </c>
      <c r="J77" s="273">
        <v>11000000</v>
      </c>
      <c r="K77" s="273">
        <f t="shared" si="20"/>
        <v>11000000</v>
      </c>
      <c r="L77" s="273">
        <f t="shared" si="21"/>
        <v>-2958413.4615384638</v>
      </c>
      <c r="M77" s="204">
        <f t="shared" si="16"/>
        <v>0</v>
      </c>
    </row>
    <row r="78" spans="1:13" ht="15.75" x14ac:dyDescent="0.25">
      <c r="A78" s="212">
        <f t="shared" si="17"/>
        <v>65</v>
      </c>
      <c r="B78" s="72" t="s">
        <v>134</v>
      </c>
      <c r="C78" s="73" t="s">
        <v>135</v>
      </c>
      <c r="D78" s="132">
        <f>'SẢN XUẤTmới'!AH62</f>
        <v>8850865.3846153859</v>
      </c>
      <c r="E78" s="132">
        <f>'SẢN XUẤTmới'!F62/26/8*('SẢN XUẤTmới'!N62*0.5+'SẢN XUẤTmới'!O62*0.8)+'SẢN XUẤTmới'!Z62/2</f>
        <v>1452668.2692307692</v>
      </c>
      <c r="F78" s="273">
        <f t="shared" si="18"/>
        <v>7398197.1153846169</v>
      </c>
      <c r="G78" s="132"/>
      <c r="H78" s="132"/>
      <c r="I78" s="273">
        <f t="shared" si="19"/>
        <v>0</v>
      </c>
      <c r="J78" s="273">
        <v>11000000</v>
      </c>
      <c r="K78" s="273">
        <f t="shared" si="20"/>
        <v>11000000</v>
      </c>
      <c r="L78" s="273">
        <f t="shared" si="21"/>
        <v>-3601802.8846153831</v>
      </c>
      <c r="M78" s="204">
        <f t="shared" si="16"/>
        <v>0</v>
      </c>
    </row>
    <row r="79" spans="1:13" ht="15.75" x14ac:dyDescent="0.25">
      <c r="A79" s="212">
        <f t="shared" si="17"/>
        <v>66</v>
      </c>
      <c r="B79" s="72" t="s">
        <v>156</v>
      </c>
      <c r="C79" s="73" t="s">
        <v>157</v>
      </c>
      <c r="D79" s="132">
        <f>'SẢN XUẤTmới'!AH63</f>
        <v>9019098.557692308</v>
      </c>
      <c r="E79" s="132">
        <f>'SẢN XUẤTmới'!F63/26/8*('SẢN XUẤTmới'!N63*0.5+'SẢN XUẤTmới'!O63*0.8)+'SẢN XUẤTmới'!Z63/2</f>
        <v>1659122.596153846</v>
      </c>
      <c r="F79" s="273">
        <f t="shared" si="18"/>
        <v>7359975.961538462</v>
      </c>
      <c r="G79" s="132"/>
      <c r="H79" s="132"/>
      <c r="I79" s="273">
        <f t="shared" si="19"/>
        <v>0</v>
      </c>
      <c r="J79" s="273">
        <v>11000000</v>
      </c>
      <c r="K79" s="273">
        <f t="shared" si="20"/>
        <v>11000000</v>
      </c>
      <c r="L79" s="273">
        <f t="shared" si="21"/>
        <v>-3640024.038461538</v>
      </c>
      <c r="M79" s="204">
        <f t="shared" si="16"/>
        <v>0</v>
      </c>
    </row>
    <row r="80" spans="1:13" ht="15.75" x14ac:dyDescent="0.25">
      <c r="A80" s="212">
        <f t="shared" si="17"/>
        <v>67</v>
      </c>
      <c r="B80" s="72" t="s">
        <v>152</v>
      </c>
      <c r="C80" s="73" t="s">
        <v>153</v>
      </c>
      <c r="D80" s="132">
        <f>'SẢN XUẤTmới'!AH64</f>
        <v>8420348.557692308</v>
      </c>
      <c r="E80" s="132">
        <f>'SẢN XUẤTmới'!F64/26/8*('SẢN XUẤTmới'!N64*0.5+'SẢN XUẤTmới'!O64*0.8)+'SẢN XUẤTmới'!Z64/2</f>
        <v>1515781.25</v>
      </c>
      <c r="F80" s="273">
        <f t="shared" si="18"/>
        <v>6904567.307692308</v>
      </c>
      <c r="G80" s="132"/>
      <c r="H80" s="132"/>
      <c r="I80" s="273">
        <f t="shared" si="19"/>
        <v>0</v>
      </c>
      <c r="J80" s="273">
        <v>11000000</v>
      </c>
      <c r="K80" s="273">
        <f t="shared" si="20"/>
        <v>11000000</v>
      </c>
      <c r="L80" s="273">
        <f t="shared" si="21"/>
        <v>-4095432.692307692</v>
      </c>
      <c r="M80" s="204">
        <f t="shared" si="16"/>
        <v>0</v>
      </c>
    </row>
    <row r="81" spans="1:13" ht="15.75" x14ac:dyDescent="0.25">
      <c r="A81" s="212">
        <f t="shared" si="17"/>
        <v>68</v>
      </c>
      <c r="B81" s="72" t="s">
        <v>154</v>
      </c>
      <c r="C81" s="73" t="s">
        <v>155</v>
      </c>
      <c r="D81" s="132">
        <f>'SẢN XUẤTmới'!AH65</f>
        <v>9150673.0769230779</v>
      </c>
      <c r="E81" s="132">
        <f>'SẢN XUẤTmới'!F65/26/8*('SẢN XUẤTmới'!N65*0.5+'SẢN XUẤTmới'!O65*0.8)+'SẢN XUẤTmới'!Z65/2</f>
        <v>1705120.1923076925</v>
      </c>
      <c r="F81" s="273">
        <f t="shared" si="18"/>
        <v>7445552.8846153859</v>
      </c>
      <c r="G81" s="132"/>
      <c r="H81" s="132"/>
      <c r="I81" s="273">
        <f t="shared" si="19"/>
        <v>0</v>
      </c>
      <c r="J81" s="273">
        <v>11000000</v>
      </c>
      <c r="K81" s="273">
        <f t="shared" si="20"/>
        <v>11000000</v>
      </c>
      <c r="L81" s="273">
        <f t="shared" si="21"/>
        <v>-3554447.1153846141</v>
      </c>
      <c r="M81" s="204">
        <f t="shared" si="16"/>
        <v>0</v>
      </c>
    </row>
    <row r="82" spans="1:13" ht="15.75" x14ac:dyDescent="0.25">
      <c r="A82" s="212">
        <f t="shared" si="17"/>
        <v>69</v>
      </c>
      <c r="B82" s="72" t="s">
        <v>158</v>
      </c>
      <c r="C82" s="73" t="s">
        <v>159</v>
      </c>
      <c r="D82" s="132">
        <f>'SẢN XUẤTmới'!AH66</f>
        <v>6942872.596153846</v>
      </c>
      <c r="E82" s="132">
        <f>'SẢN XUẤTmới'!F66/26/8*('SẢN XUẤTmới'!N66*0.5+'SẢN XUẤTmới'!O66*0.8)+'SẢN XUẤTmới'!Z66/2</f>
        <v>1254771.6346153845</v>
      </c>
      <c r="F82" s="273">
        <f t="shared" si="18"/>
        <v>5688100.961538462</v>
      </c>
      <c r="G82" s="132"/>
      <c r="H82" s="132"/>
      <c r="I82" s="273">
        <f t="shared" si="19"/>
        <v>0</v>
      </c>
      <c r="J82" s="273">
        <v>11000000</v>
      </c>
      <c r="K82" s="273">
        <f t="shared" si="20"/>
        <v>11000000</v>
      </c>
      <c r="L82" s="273">
        <f t="shared" si="21"/>
        <v>-5311899.038461538</v>
      </c>
      <c r="M82" s="204">
        <f t="shared" si="16"/>
        <v>0</v>
      </c>
    </row>
    <row r="83" spans="1:13" ht="15.75" x14ac:dyDescent="0.25">
      <c r="A83" s="212">
        <f t="shared" si="17"/>
        <v>70</v>
      </c>
      <c r="B83" s="72" t="s">
        <v>150</v>
      </c>
      <c r="C83" s="73" t="s">
        <v>151</v>
      </c>
      <c r="D83" s="132">
        <f>'SẢN XUẤTmới'!AH67</f>
        <v>2802283.653846154</v>
      </c>
      <c r="E83" s="132">
        <f>'SẢN XUẤTmới'!F67/26/8*('SẢN XUẤTmới'!N67*0.5+'SẢN XUẤTmới'!O67*0.8)+'SẢN XUẤTmới'!Z67/2</f>
        <v>331610.57692307694</v>
      </c>
      <c r="F83" s="273">
        <f t="shared" si="18"/>
        <v>2470673.076923077</v>
      </c>
      <c r="G83" s="132"/>
      <c r="H83" s="132"/>
      <c r="I83" s="273">
        <f t="shared" si="19"/>
        <v>0</v>
      </c>
      <c r="J83" s="273">
        <v>11000000</v>
      </c>
      <c r="K83" s="273">
        <f t="shared" si="20"/>
        <v>11000000</v>
      </c>
      <c r="L83" s="273">
        <f t="shared" si="21"/>
        <v>-8529326.9230769239</v>
      </c>
      <c r="M83" s="204">
        <f t="shared" si="16"/>
        <v>0</v>
      </c>
    </row>
    <row r="84" spans="1:13" ht="15.75" x14ac:dyDescent="0.25">
      <c r="A84" s="212">
        <f t="shared" si="17"/>
        <v>71</v>
      </c>
      <c r="B84" s="72" t="s">
        <v>138</v>
      </c>
      <c r="C84" s="73" t="s">
        <v>139</v>
      </c>
      <c r="D84" s="132">
        <f>'SẢN XUẤTmới'!AH68</f>
        <v>1600000</v>
      </c>
      <c r="E84" s="132">
        <f>'SẢN XUẤTmới'!F68/26/8*('SẢN XUẤTmới'!N68*0.5+'SẢN XUẤTmới'!O68*0.8)+'SẢN XUẤTmới'!Z68/2</f>
        <v>0</v>
      </c>
      <c r="F84" s="273">
        <f t="shared" si="18"/>
        <v>1600000</v>
      </c>
      <c r="G84" s="132"/>
      <c r="H84" s="132"/>
      <c r="I84" s="273">
        <f t="shared" si="19"/>
        <v>0</v>
      </c>
      <c r="J84" s="273">
        <v>11000000</v>
      </c>
      <c r="K84" s="273">
        <f t="shared" si="20"/>
        <v>11000000</v>
      </c>
      <c r="L84" s="273">
        <f t="shared" si="21"/>
        <v>-9400000</v>
      </c>
      <c r="M84" s="204">
        <f t="shared" si="16"/>
        <v>0</v>
      </c>
    </row>
    <row r="85" spans="1:13" ht="15.75" x14ac:dyDescent="0.25">
      <c r="A85" s="212">
        <f t="shared" si="17"/>
        <v>72</v>
      </c>
      <c r="B85" s="72" t="s">
        <v>140</v>
      </c>
      <c r="C85" s="73" t="s">
        <v>141</v>
      </c>
      <c r="D85" s="132">
        <f>'SẢN XUẤTmới'!AH69</f>
        <v>7190180.2884615399</v>
      </c>
      <c r="E85" s="132">
        <f>'SẢN XUẤTmới'!F69/26/8*('SẢN XUẤTmới'!N69*0.5+'SẢN XUẤTmới'!O69*0.8)+'SẢN XUẤTmới'!Z69/2</f>
        <v>980925.48076923075</v>
      </c>
      <c r="F85" s="273">
        <f t="shared" si="18"/>
        <v>6209254.8076923089</v>
      </c>
      <c r="G85" s="132"/>
      <c r="H85" s="132"/>
      <c r="I85" s="273">
        <f t="shared" si="19"/>
        <v>0</v>
      </c>
      <c r="J85" s="273">
        <v>11000000</v>
      </c>
      <c r="K85" s="273">
        <f t="shared" si="20"/>
        <v>11000000</v>
      </c>
      <c r="L85" s="273">
        <f t="shared" si="21"/>
        <v>-4790745.1923076911</v>
      </c>
      <c r="M85" s="204">
        <f t="shared" si="16"/>
        <v>0</v>
      </c>
    </row>
    <row r="86" spans="1:13" ht="15.75" x14ac:dyDescent="0.25">
      <c r="A86" s="212">
        <f t="shared" si="17"/>
        <v>73</v>
      </c>
      <c r="B86" s="72" t="s">
        <v>142</v>
      </c>
      <c r="C86" s="73" t="s">
        <v>143</v>
      </c>
      <c r="D86" s="132">
        <f>'SẢN XUẤTmới'!AH70</f>
        <v>6685276.442307693</v>
      </c>
      <c r="E86" s="132">
        <f>'SẢN XUẤTmới'!F70/26/8*('SẢN XUẤTmới'!N70*0.5+'SẢN XUẤTmới'!O70*0.8)+'SẢN XUẤTmới'!Z70/2</f>
        <v>700661.05769230775</v>
      </c>
      <c r="F86" s="273">
        <f t="shared" si="18"/>
        <v>5984615.384615385</v>
      </c>
      <c r="G86" s="132"/>
      <c r="H86" s="132"/>
      <c r="I86" s="273">
        <f t="shared" si="19"/>
        <v>0</v>
      </c>
      <c r="J86" s="273">
        <v>11000000</v>
      </c>
      <c r="K86" s="273">
        <f t="shared" si="20"/>
        <v>11000000</v>
      </c>
      <c r="L86" s="273">
        <f t="shared" si="21"/>
        <v>-5015384.615384615</v>
      </c>
      <c r="M86" s="204">
        <f t="shared" si="16"/>
        <v>0</v>
      </c>
    </row>
    <row r="87" spans="1:13" ht="15.75" x14ac:dyDescent="0.25">
      <c r="A87" s="212">
        <f t="shared" si="17"/>
        <v>74</v>
      </c>
      <c r="B87" s="72" t="s">
        <v>144</v>
      </c>
      <c r="C87" s="73" t="s">
        <v>145</v>
      </c>
      <c r="D87" s="132">
        <f>'SẢN XUẤTmới'!AH71</f>
        <v>6588221.1538461531</v>
      </c>
      <c r="E87" s="132">
        <f>'SẢN XUẤTmới'!F71/26/8*('SẢN XUẤTmới'!N71*0.5+'SẢN XUẤTmới'!O71*0.8)+'SẢN XUẤTmới'!Z71/2</f>
        <v>802283.65384615387</v>
      </c>
      <c r="F87" s="273">
        <f t="shared" si="18"/>
        <v>5785937.4999999991</v>
      </c>
      <c r="G87" s="132"/>
      <c r="H87" s="132"/>
      <c r="I87" s="273">
        <f t="shared" si="19"/>
        <v>0</v>
      </c>
      <c r="J87" s="273">
        <v>11000000</v>
      </c>
      <c r="K87" s="273">
        <f t="shared" si="20"/>
        <v>11000000</v>
      </c>
      <c r="L87" s="273">
        <f t="shared" si="21"/>
        <v>-5214062.5000000009</v>
      </c>
      <c r="M87" s="204">
        <f t="shared" si="16"/>
        <v>0</v>
      </c>
    </row>
    <row r="88" spans="1:13" ht="15.75" x14ac:dyDescent="0.25">
      <c r="A88" s="212">
        <f t="shared" si="17"/>
        <v>75</v>
      </c>
      <c r="B88" s="72" t="s">
        <v>146</v>
      </c>
      <c r="C88" s="73" t="s">
        <v>147</v>
      </c>
      <c r="D88" s="132">
        <f>'SẢN XUẤTmới'!AH72</f>
        <v>2185096.153846154</v>
      </c>
      <c r="E88" s="132">
        <f>'SẢN XUẤTmới'!F72/26/8*('SẢN XUẤTmới'!N72*0.5+'SẢN XUẤTmới'!O72*0.8)+'SẢN XUẤTmới'!Z72/2</f>
        <v>128365.38461538462</v>
      </c>
      <c r="F88" s="273">
        <f t="shared" si="18"/>
        <v>2056730.7692307695</v>
      </c>
      <c r="G88" s="132"/>
      <c r="H88" s="132"/>
      <c r="I88" s="273">
        <f t="shared" si="19"/>
        <v>0</v>
      </c>
      <c r="J88" s="273">
        <v>11000000</v>
      </c>
      <c r="K88" s="273">
        <f t="shared" si="20"/>
        <v>11000000</v>
      </c>
      <c r="L88" s="273">
        <f t="shared" si="21"/>
        <v>-8943269.2307692301</v>
      </c>
      <c r="M88" s="204">
        <f t="shared" si="16"/>
        <v>0</v>
      </c>
    </row>
    <row r="89" spans="1:13" ht="15.75" x14ac:dyDescent="0.25">
      <c r="A89" s="212">
        <f t="shared" si="17"/>
        <v>76</v>
      </c>
      <c r="B89" s="72" t="s">
        <v>148</v>
      </c>
      <c r="C89" s="73" t="s">
        <v>149</v>
      </c>
      <c r="D89" s="132">
        <f>'SẢN XUẤTmới'!AH73</f>
        <v>3722019.230769231</v>
      </c>
      <c r="E89" s="132">
        <f>'SẢN XUẤTmới'!F73/26/8*('SẢN XUẤTmới'!N73*0.5+'SẢN XUẤTmới'!O73*0.8)+'SẢN XUẤTmới'!Z73/2</f>
        <v>318774.0384615385</v>
      </c>
      <c r="F89" s="273">
        <f t="shared" si="18"/>
        <v>3403245.1923076925</v>
      </c>
      <c r="G89" s="132"/>
      <c r="H89" s="132"/>
      <c r="I89" s="273">
        <f t="shared" si="19"/>
        <v>0</v>
      </c>
      <c r="J89" s="273">
        <v>11000000</v>
      </c>
      <c r="K89" s="273">
        <f t="shared" si="20"/>
        <v>11000000</v>
      </c>
      <c r="L89" s="273">
        <f t="shared" si="21"/>
        <v>-7596754.807692308</v>
      </c>
      <c r="M89" s="204">
        <f t="shared" si="16"/>
        <v>0</v>
      </c>
    </row>
    <row r="90" spans="1:13" ht="15.75" x14ac:dyDescent="0.25">
      <c r="A90" s="212">
        <f t="shared" si="17"/>
        <v>77</v>
      </c>
      <c r="B90" s="72" t="s">
        <v>136</v>
      </c>
      <c r="C90" s="73" t="s">
        <v>137</v>
      </c>
      <c r="D90" s="132">
        <f>'SẢN XUẤTmới'!AH74</f>
        <v>6175024.038461539</v>
      </c>
      <c r="E90" s="132">
        <f>'SẢN XUẤTmới'!F74/26/8*('SẢN XUẤTmới'!N74*0.5+'SẢN XUẤTmới'!O74*0.8)+'SẢN XUẤTmới'!Z74/2</f>
        <v>532716.34615384613</v>
      </c>
      <c r="F90" s="273">
        <f t="shared" si="18"/>
        <v>5642307.692307693</v>
      </c>
      <c r="G90" s="132"/>
      <c r="H90" s="132"/>
      <c r="I90" s="273">
        <f t="shared" si="19"/>
        <v>0</v>
      </c>
      <c r="J90" s="273">
        <v>11000000</v>
      </c>
      <c r="K90" s="273">
        <f t="shared" si="20"/>
        <v>11000000</v>
      </c>
      <c r="L90" s="273">
        <f t="shared" si="21"/>
        <v>-5357692.307692307</v>
      </c>
      <c r="M90" s="204">
        <f t="shared" si="16"/>
        <v>0</v>
      </c>
    </row>
    <row r="91" spans="1:13" ht="15.75" x14ac:dyDescent="0.25">
      <c r="A91" s="212">
        <f t="shared" si="17"/>
        <v>78</v>
      </c>
      <c r="B91" s="72" t="s">
        <v>164</v>
      </c>
      <c r="C91" s="73" t="s">
        <v>165</v>
      </c>
      <c r="D91" s="132">
        <f>'SẢN XUẤTmới'!AH75</f>
        <v>2855588.9423076925</v>
      </c>
      <c r="E91" s="132">
        <f>'SẢN XUẤTmới'!F75/26/8*('SẢN XUẤTmới'!N75*0.5+'SẢN XUẤTmới'!O75*0.8)+'SẢN XUẤTmới'!Z75/2</f>
        <v>294170.67307692306</v>
      </c>
      <c r="F91" s="273">
        <f t="shared" si="18"/>
        <v>2561418.2692307695</v>
      </c>
      <c r="G91" s="132"/>
      <c r="H91" s="132"/>
      <c r="I91" s="273">
        <f t="shared" si="19"/>
        <v>0</v>
      </c>
      <c r="J91" s="273">
        <v>11000000</v>
      </c>
      <c r="K91" s="273">
        <f t="shared" si="20"/>
        <v>11000000</v>
      </c>
      <c r="L91" s="273">
        <f t="shared" si="21"/>
        <v>-8438581.7307692301</v>
      </c>
      <c r="M91" s="204">
        <f t="shared" si="16"/>
        <v>0</v>
      </c>
    </row>
    <row r="92" spans="1:13" ht="15.75" x14ac:dyDescent="0.25">
      <c r="A92" s="212">
        <f t="shared" si="17"/>
        <v>79</v>
      </c>
      <c r="B92" s="72" t="s">
        <v>166</v>
      </c>
      <c r="C92" s="73" t="s">
        <v>167</v>
      </c>
      <c r="D92" s="132">
        <f>'SẢN XUẤTmới'!AH76</f>
        <v>3229987.980769231</v>
      </c>
      <c r="E92" s="132">
        <f>'SẢN XUẤTmới'!F76/26/8*('SẢN XUẤTmới'!N76*0.5+'SẢN XUẤTmới'!O76*0.8)+'SẢN XUẤTmới'!Z76/2</f>
        <v>476021.63461538462</v>
      </c>
      <c r="F92" s="273">
        <f t="shared" si="18"/>
        <v>2753966.3461538465</v>
      </c>
      <c r="G92" s="132"/>
      <c r="H92" s="132"/>
      <c r="I92" s="273">
        <f t="shared" si="19"/>
        <v>0</v>
      </c>
      <c r="J92" s="273">
        <v>11000000</v>
      </c>
      <c r="K92" s="273">
        <f t="shared" si="20"/>
        <v>11000000</v>
      </c>
      <c r="L92" s="273">
        <f t="shared" si="21"/>
        <v>-8246033.653846154</v>
      </c>
      <c r="M92" s="204">
        <f t="shared" si="16"/>
        <v>0</v>
      </c>
    </row>
    <row r="93" spans="1:13" ht="15.75" x14ac:dyDescent="0.25">
      <c r="A93" s="212">
        <f t="shared" si="17"/>
        <v>80</v>
      </c>
      <c r="B93" s="72" t="s">
        <v>160</v>
      </c>
      <c r="C93" s="73" t="s">
        <v>161</v>
      </c>
      <c r="D93" s="132">
        <f>'SẢN XUẤTmới'!AH77</f>
        <v>2122896.6346153845</v>
      </c>
      <c r="E93" s="132">
        <f>'SẢN XUẤTmới'!F77/26/8*('SẢN XUẤTmới'!N77*0.5+'SẢN XUẤTmới'!O77*0.8)+'SẢN XUẤTmới'!Z77/2</f>
        <v>123016.82692307692</v>
      </c>
      <c r="F93" s="273">
        <f t="shared" si="18"/>
        <v>1999879.8076923075</v>
      </c>
      <c r="G93" s="132"/>
      <c r="H93" s="132"/>
      <c r="I93" s="273">
        <f t="shared" si="19"/>
        <v>0</v>
      </c>
      <c r="J93" s="273">
        <v>11000000</v>
      </c>
      <c r="K93" s="273">
        <f t="shared" si="20"/>
        <v>11000000</v>
      </c>
      <c r="L93" s="273">
        <f t="shared" si="21"/>
        <v>-9000120.192307692</v>
      </c>
      <c r="M93" s="204">
        <f t="shared" si="16"/>
        <v>0</v>
      </c>
    </row>
    <row r="94" spans="1:13" ht="15.75" x14ac:dyDescent="0.25">
      <c r="A94" s="212">
        <f t="shared" si="17"/>
        <v>81</v>
      </c>
      <c r="B94" s="72" t="s">
        <v>162</v>
      </c>
      <c r="C94" s="73" t="s">
        <v>163</v>
      </c>
      <c r="D94" s="132">
        <f>'SẢN XUẤTmới'!AH78</f>
        <v>2828966.346153846</v>
      </c>
      <c r="E94" s="132">
        <f>'SẢN XUẤTmới'!F78/26/8*('SẢN XUẤTmới'!N78*0.5+'SẢN XUẤTmới'!O78*0.8)+'SẢN XUẤTmới'!Z78/2</f>
        <v>545552.88461538462</v>
      </c>
      <c r="F94" s="273">
        <f t="shared" si="18"/>
        <v>2283413.4615384615</v>
      </c>
      <c r="G94" s="132"/>
      <c r="H94" s="132"/>
      <c r="I94" s="273">
        <f t="shared" si="19"/>
        <v>0</v>
      </c>
      <c r="J94" s="273">
        <v>11000000</v>
      </c>
      <c r="K94" s="273">
        <f t="shared" si="20"/>
        <v>11000000</v>
      </c>
      <c r="L94" s="273">
        <f t="shared" si="21"/>
        <v>-8716586.538461538</v>
      </c>
      <c r="M94" s="204">
        <f t="shared" si="16"/>
        <v>0</v>
      </c>
    </row>
    <row r="95" spans="1:13" ht="15.75" x14ac:dyDescent="0.25">
      <c r="A95" s="212">
        <f t="shared" si="17"/>
        <v>82</v>
      </c>
      <c r="B95" s="72" t="s">
        <v>488</v>
      </c>
      <c r="C95" s="73" t="s">
        <v>490</v>
      </c>
      <c r="D95" s="132">
        <f>'SẢN XUẤTmới'!AH79</f>
        <v>3449218.7500000005</v>
      </c>
      <c r="E95" s="132">
        <f>'SẢN XUẤTmới'!F79/26/8*('SẢN XUẤTmới'!N79*0.5+'SẢN XUẤTmới'!O79*0.8)+'SẢN XUẤTmới'!Z79/2</f>
        <v>476021.63461538462</v>
      </c>
      <c r="F95" s="273">
        <f t="shared" si="18"/>
        <v>2973197.115384616</v>
      </c>
      <c r="G95" s="132"/>
      <c r="H95" s="132"/>
      <c r="I95" s="273">
        <f t="shared" si="19"/>
        <v>0</v>
      </c>
      <c r="J95" s="273">
        <v>11000000</v>
      </c>
      <c r="K95" s="273">
        <f t="shared" si="20"/>
        <v>11000000</v>
      </c>
      <c r="L95" s="273">
        <f t="shared" si="21"/>
        <v>-8026802.884615384</v>
      </c>
      <c r="M95" s="204">
        <f t="shared" si="16"/>
        <v>0</v>
      </c>
    </row>
    <row r="96" spans="1:13" ht="15.75" x14ac:dyDescent="0.25">
      <c r="A96" s="212">
        <f t="shared" si="17"/>
        <v>83</v>
      </c>
      <c r="B96" s="72" t="s">
        <v>491</v>
      </c>
      <c r="C96" s="73" t="s">
        <v>492</v>
      </c>
      <c r="D96" s="132">
        <f>'SẢN XUẤTmới'!AH80</f>
        <v>2000060.0961538462</v>
      </c>
      <c r="E96" s="132">
        <f>'SẢN XUẤTmới'!F80/26/8*('SẢN XUẤTmới'!N80*0.5+'SẢN XUẤTmới'!O80*0.8)+'SẢN XUẤTmới'!Z80/2</f>
        <v>358353.36538461538</v>
      </c>
      <c r="F96" s="273">
        <f t="shared" si="18"/>
        <v>1641706.730769231</v>
      </c>
      <c r="G96" s="132"/>
      <c r="H96" s="132"/>
      <c r="I96" s="273">
        <f t="shared" si="19"/>
        <v>0</v>
      </c>
      <c r="J96" s="273">
        <v>11000000</v>
      </c>
      <c r="K96" s="273">
        <f t="shared" si="20"/>
        <v>11000000</v>
      </c>
      <c r="L96" s="273">
        <f t="shared" si="21"/>
        <v>-9358293.2692307681</v>
      </c>
      <c r="M96" s="204">
        <f t="shared" si="16"/>
        <v>0</v>
      </c>
    </row>
    <row r="97" spans="1:13" ht="15.75" x14ac:dyDescent="0.25">
      <c r="A97" s="212">
        <f t="shared" si="17"/>
        <v>84</v>
      </c>
      <c r="B97" s="72" t="s">
        <v>493</v>
      </c>
      <c r="C97" s="73" t="s">
        <v>494</v>
      </c>
      <c r="D97" s="132">
        <f>'SẢN XUẤTmới'!AH81</f>
        <v>882331.73076923075</v>
      </c>
      <c r="E97" s="132">
        <f>'SẢN XUẤTmới'!F81/26/8*('SẢN XUẤTmới'!N81*0.5+'SẢN XUẤTmới'!O81*0.8)+'SẢN XUẤTmới'!Z81/2</f>
        <v>74879.807692307688</v>
      </c>
      <c r="F97" s="273">
        <f t="shared" si="18"/>
        <v>807451.92307692301</v>
      </c>
      <c r="G97" s="132"/>
      <c r="H97" s="132"/>
      <c r="I97" s="273">
        <f t="shared" si="19"/>
        <v>0</v>
      </c>
      <c r="J97" s="273">
        <v>11000000</v>
      </c>
      <c r="K97" s="273">
        <f t="shared" si="20"/>
        <v>11000000</v>
      </c>
      <c r="L97" s="273">
        <f t="shared" si="21"/>
        <v>-10192548.076923076</v>
      </c>
      <c r="M97" s="204">
        <f t="shared" si="16"/>
        <v>0</v>
      </c>
    </row>
    <row r="98" spans="1:13" ht="15.75" x14ac:dyDescent="0.25">
      <c r="A98" s="212">
        <f t="shared" si="17"/>
        <v>85</v>
      </c>
      <c r="B98" s="72" t="s">
        <v>495</v>
      </c>
      <c r="C98" s="73" t="s">
        <v>497</v>
      </c>
      <c r="D98" s="132">
        <f>'SẢN XUẤTmới'!AH82</f>
        <v>1320913.4615384615</v>
      </c>
      <c r="E98" s="132">
        <f>'SẢN XUẤTmới'!F82/26/8*('SẢN XUẤTmới'!N82*0.5+'SẢN XUẤTmới'!O82*0.8)+'SẢN XUẤTmới'!Z82/2</f>
        <v>278125</v>
      </c>
      <c r="F98" s="273">
        <f t="shared" si="18"/>
        <v>1042788.4615384615</v>
      </c>
      <c r="G98" s="132"/>
      <c r="H98" s="132"/>
      <c r="I98" s="273">
        <f t="shared" si="19"/>
        <v>0</v>
      </c>
      <c r="J98" s="273">
        <v>11000000</v>
      </c>
      <c r="K98" s="273">
        <f t="shared" si="20"/>
        <v>11000000</v>
      </c>
      <c r="L98" s="273">
        <f t="shared" si="21"/>
        <v>-9957211.538461538</v>
      </c>
      <c r="M98" s="204">
        <f t="shared" si="16"/>
        <v>0</v>
      </c>
    </row>
    <row r="99" spans="1:13" ht="15.75" x14ac:dyDescent="0.25">
      <c r="A99" s="212">
        <f t="shared" si="17"/>
        <v>86</v>
      </c>
      <c r="B99" s="72" t="s">
        <v>496</v>
      </c>
      <c r="C99" s="73" t="s">
        <v>498</v>
      </c>
      <c r="D99" s="132">
        <f>'SẢN XUẤTmới'!AH83</f>
        <v>1320913.4615384615</v>
      </c>
      <c r="E99" s="132">
        <f>'SẢN XUẤTmới'!F83/26/8*('SẢN XUẤTmới'!N83*0.5+'SẢN XUẤTmới'!O83*0.8)+'SẢN XUẤTmới'!Z83/2</f>
        <v>278125</v>
      </c>
      <c r="F99" s="273">
        <f t="shared" si="18"/>
        <v>1042788.4615384615</v>
      </c>
      <c r="G99" s="132"/>
      <c r="H99" s="132"/>
      <c r="I99" s="273">
        <f t="shared" si="19"/>
        <v>0</v>
      </c>
      <c r="J99" s="273">
        <v>11000000</v>
      </c>
      <c r="K99" s="273">
        <f t="shared" si="20"/>
        <v>11000000</v>
      </c>
      <c r="L99" s="273">
        <f t="shared" si="21"/>
        <v>-9957211.538461538</v>
      </c>
      <c r="M99" s="204">
        <f t="shared" si="16"/>
        <v>0</v>
      </c>
    </row>
    <row r="100" spans="1:13" ht="15.75" x14ac:dyDescent="0.25">
      <c r="A100" s="212">
        <f t="shared" si="17"/>
        <v>87</v>
      </c>
      <c r="B100" s="72" t="s">
        <v>469</v>
      </c>
      <c r="C100" s="73" t="s">
        <v>470</v>
      </c>
      <c r="D100" s="132">
        <f>'SẢN XUẤTmới'!AH84</f>
        <v>2520913.461538462</v>
      </c>
      <c r="E100" s="132">
        <f>'SẢN XUẤTmới'!F84/26/8*('SẢN XUẤTmới'!N84*0.5+'SẢN XUẤTmới'!O84*0.8)+'SẢN XUẤTmới'!Z84/2</f>
        <v>181850.96153846153</v>
      </c>
      <c r="F100" s="273">
        <f t="shared" si="18"/>
        <v>2339062.5000000005</v>
      </c>
      <c r="G100" s="132"/>
      <c r="H100" s="132"/>
      <c r="I100" s="273">
        <f t="shared" si="19"/>
        <v>0</v>
      </c>
      <c r="J100" s="273">
        <v>11000000</v>
      </c>
      <c r="K100" s="273">
        <f t="shared" si="20"/>
        <v>11000000</v>
      </c>
      <c r="L100" s="273">
        <f t="shared" si="21"/>
        <v>-8660937.5</v>
      </c>
      <c r="M100" s="204">
        <f t="shared" si="16"/>
        <v>0</v>
      </c>
    </row>
    <row r="101" spans="1:13" ht="15.75" x14ac:dyDescent="0.25">
      <c r="A101" s="212">
        <f t="shared" si="17"/>
        <v>88</v>
      </c>
      <c r="B101" s="72" t="s">
        <v>476</v>
      </c>
      <c r="C101" s="73" t="s">
        <v>468</v>
      </c>
      <c r="D101" s="132">
        <f>'SẢN XUẤTmới'!AH85</f>
        <v>1160456.7307692308</v>
      </c>
      <c r="E101" s="132">
        <f>'SẢN XUẤTmới'!F85/26/8*('SẢN XUẤTmới'!N85*0.5+'SẢN XUẤTmới'!O85*0.8)+'SẢN XUẤTmới'!Z85/2</f>
        <v>53485.576923076922</v>
      </c>
      <c r="F101" s="273">
        <f t="shared" si="18"/>
        <v>1106971.1538461538</v>
      </c>
      <c r="G101" s="132"/>
      <c r="H101" s="132"/>
      <c r="I101" s="273">
        <f t="shared" si="19"/>
        <v>0</v>
      </c>
      <c r="J101" s="273">
        <v>11000000</v>
      </c>
      <c r="K101" s="273">
        <f t="shared" si="20"/>
        <v>11000000</v>
      </c>
      <c r="L101" s="273">
        <f t="shared" si="21"/>
        <v>-9893028.846153846</v>
      </c>
      <c r="M101" s="204">
        <f t="shared" si="16"/>
        <v>0</v>
      </c>
    </row>
    <row r="102" spans="1:13" ht="15.75" x14ac:dyDescent="0.25">
      <c r="A102" s="212">
        <f t="shared" si="17"/>
        <v>89</v>
      </c>
      <c r="B102" s="72" t="s">
        <v>484</v>
      </c>
      <c r="C102" s="73" t="s">
        <v>103</v>
      </c>
      <c r="D102" s="132">
        <f>'SẢN XUẤTmới'!AH86</f>
        <v>0</v>
      </c>
      <c r="E102" s="132">
        <f>'SẢN XUẤTmới'!F86/26/8*('SẢN XUẤTmới'!N86*0.5+'SẢN XUẤTmới'!O86*0.8)+'SẢN XUẤTmới'!Z86/2</f>
        <v>0</v>
      </c>
      <c r="F102" s="273">
        <f t="shared" si="18"/>
        <v>0</v>
      </c>
      <c r="G102" s="132"/>
      <c r="H102" s="132"/>
      <c r="I102" s="273">
        <f t="shared" si="19"/>
        <v>0</v>
      </c>
      <c r="J102" s="273">
        <v>11000000</v>
      </c>
      <c r="K102" s="273">
        <f t="shared" si="20"/>
        <v>11000000</v>
      </c>
      <c r="L102" s="273">
        <f t="shared" si="21"/>
        <v>-11000000</v>
      </c>
      <c r="M102" s="204">
        <f t="shared" si="16"/>
        <v>0</v>
      </c>
    </row>
    <row r="103" spans="1:13" ht="15.75" x14ac:dyDescent="0.25">
      <c r="A103" s="212">
        <f t="shared" si="17"/>
        <v>90</v>
      </c>
      <c r="B103" s="72" t="s">
        <v>485</v>
      </c>
      <c r="C103" s="73" t="s">
        <v>481</v>
      </c>
      <c r="D103" s="132">
        <f>'SẢN XUẤTmới'!AH87</f>
        <v>0</v>
      </c>
      <c r="E103" s="132">
        <f>'SẢN XUẤTmới'!F87/26/8*('SẢN XUẤTmới'!N87*0.5+'SẢN XUẤTmới'!O87*0.8)+'SẢN XUẤTmới'!Z87/2</f>
        <v>0</v>
      </c>
      <c r="F103" s="273">
        <f t="shared" si="18"/>
        <v>0</v>
      </c>
      <c r="G103" s="132"/>
      <c r="H103" s="132"/>
      <c r="I103" s="273">
        <f t="shared" si="19"/>
        <v>0</v>
      </c>
      <c r="J103" s="273">
        <v>11000000</v>
      </c>
      <c r="K103" s="273">
        <f t="shared" si="20"/>
        <v>11000000</v>
      </c>
      <c r="L103" s="273">
        <f t="shared" si="21"/>
        <v>-11000000</v>
      </c>
      <c r="M103" s="204">
        <f t="shared" si="16"/>
        <v>0</v>
      </c>
    </row>
    <row r="104" spans="1:13" ht="15.75" x14ac:dyDescent="0.25">
      <c r="A104" s="212">
        <f t="shared" si="17"/>
        <v>91</v>
      </c>
      <c r="B104" s="72" t="s">
        <v>486</v>
      </c>
      <c r="C104" s="73" t="s">
        <v>483</v>
      </c>
      <c r="D104" s="132">
        <f>'SẢN XUẤTmới'!AH88</f>
        <v>1192548.076923077</v>
      </c>
      <c r="E104" s="132">
        <f>'SẢN XUẤTmới'!F88/26/8*('SẢN XUẤTmới'!N88*0.5+'SẢN XUẤTmới'!O88*0.8)+'SẢN XUẤTmới'!Z88/2</f>
        <v>64182.692307692312</v>
      </c>
      <c r="F104" s="273">
        <f t="shared" si="18"/>
        <v>1128365.3846153847</v>
      </c>
      <c r="G104" s="132"/>
      <c r="H104" s="132"/>
      <c r="I104" s="273">
        <f t="shared" si="19"/>
        <v>0</v>
      </c>
      <c r="J104" s="273">
        <v>11000000</v>
      </c>
      <c r="K104" s="273">
        <f t="shared" si="20"/>
        <v>11000000</v>
      </c>
      <c r="L104" s="273">
        <f t="shared" si="21"/>
        <v>-9871634.615384616</v>
      </c>
      <c r="M104" s="204">
        <f t="shared" si="16"/>
        <v>0</v>
      </c>
    </row>
    <row r="105" spans="1:13" ht="15" customHeight="1" x14ac:dyDescent="0.25">
      <c r="A105" s="291" t="s">
        <v>520</v>
      </c>
      <c r="B105" s="291"/>
      <c r="C105" s="291"/>
      <c r="D105" s="282">
        <f>SUBTOTAL(9,D106:D108)</f>
        <v>24572836.53846154</v>
      </c>
      <c r="E105" s="282">
        <f t="shared" ref="E105:M105" si="22">SUBTOTAL(9,E106:E108)</f>
        <v>1583173.076923077</v>
      </c>
      <c r="F105" s="282">
        <f t="shared" si="22"/>
        <v>22989663.461538464</v>
      </c>
      <c r="G105" s="282">
        <f t="shared" si="22"/>
        <v>0</v>
      </c>
      <c r="H105" s="282">
        <f t="shared" si="22"/>
        <v>0</v>
      </c>
      <c r="I105" s="282">
        <f t="shared" si="22"/>
        <v>0</v>
      </c>
      <c r="J105" s="282">
        <f t="shared" si="22"/>
        <v>33000000</v>
      </c>
      <c r="K105" s="282">
        <f t="shared" si="22"/>
        <v>33000000</v>
      </c>
      <c r="L105" s="282">
        <f t="shared" si="22"/>
        <v>-10010336.538461538</v>
      </c>
      <c r="M105" s="282">
        <f t="shared" si="22"/>
        <v>0</v>
      </c>
    </row>
    <row r="106" spans="1:13" ht="15.75" x14ac:dyDescent="0.25">
      <c r="A106" s="212">
        <v>92</v>
      </c>
      <c r="B106" s="72" t="s">
        <v>466</v>
      </c>
      <c r="C106" s="73" t="s">
        <v>467</v>
      </c>
      <c r="D106" s="132">
        <f>'SẢN XUẤTmới'!AH90</f>
        <v>8085757.211538462</v>
      </c>
      <c r="E106" s="132">
        <f>'SẢN XUẤTmới'!F90/26/8*('SẢN XUẤTmới'!N90*0.5+'SẢN XUẤTmới'!O90*0.8)+'SẢN XUẤTmới'!Z90/2</f>
        <v>518810.09615384619</v>
      </c>
      <c r="F106" s="273">
        <f t="shared" si="18"/>
        <v>7566947.115384616</v>
      </c>
      <c r="G106" s="214"/>
      <c r="H106" s="214"/>
      <c r="I106" s="273">
        <f t="shared" si="19"/>
        <v>0</v>
      </c>
      <c r="J106" s="273">
        <v>11000000</v>
      </c>
      <c r="K106" s="273">
        <f t="shared" si="20"/>
        <v>11000000</v>
      </c>
      <c r="L106" s="273">
        <f t="shared" si="21"/>
        <v>-3433052.884615384</v>
      </c>
      <c r="M106" s="204">
        <f t="shared" ref="M106:M113" si="23">IF($A106="",0,IF(L106&lt;=0,0,IF(L106&lt;=5000000,L106*$M$3,IF(L106&lt;=10000000,$M$2*$M$3+(L106-$M$2)*$N$3,IF(L106&lt;18000000,$M$2*$M$3+$N$2*$N$3+(L106-$N$2)*$O$3,IF(L106&lt;=32000000,$M$2*$M$3+$N$2*$N$3+$O$2*$O$3+(L106-$P$2)*$P$3))))))</f>
        <v>0</v>
      </c>
    </row>
    <row r="107" spans="1:13" ht="15.75" x14ac:dyDescent="0.25">
      <c r="A107" s="212">
        <v>93</v>
      </c>
      <c r="B107" s="72" t="s">
        <v>170</v>
      </c>
      <c r="C107" s="73" t="s">
        <v>171</v>
      </c>
      <c r="D107" s="132">
        <f>'SẢN XUẤTmới'!AH91</f>
        <v>8647355.7692307699</v>
      </c>
      <c r="E107" s="132">
        <f>'SẢN XUẤTmới'!F91/26/8*('SẢN XUẤTmới'!N91*0.5+'SẢN XUẤTmới'!O91*0.8)+'SẢN XUẤTmới'!Z91/2</f>
        <v>727403.84615384624</v>
      </c>
      <c r="F107" s="273">
        <f t="shared" si="18"/>
        <v>7919951.9230769239</v>
      </c>
      <c r="G107" s="132"/>
      <c r="H107" s="132"/>
      <c r="I107" s="273">
        <f t="shared" si="19"/>
        <v>0</v>
      </c>
      <c r="J107" s="273">
        <v>11000000</v>
      </c>
      <c r="K107" s="273">
        <f t="shared" si="20"/>
        <v>11000000</v>
      </c>
      <c r="L107" s="273">
        <f t="shared" si="21"/>
        <v>-3080048.0769230761</v>
      </c>
      <c r="M107" s="204">
        <f t="shared" si="23"/>
        <v>0</v>
      </c>
    </row>
    <row r="108" spans="1:13" ht="15.75" x14ac:dyDescent="0.25">
      <c r="A108" s="212">
        <v>94</v>
      </c>
      <c r="B108" s="72" t="s">
        <v>168</v>
      </c>
      <c r="C108" s="73" t="s">
        <v>169</v>
      </c>
      <c r="D108" s="132">
        <f>'SẢN XUẤTmới'!AH92</f>
        <v>7839723.557692307</v>
      </c>
      <c r="E108" s="132">
        <f>'SẢN XUẤTmới'!F92/26/8*('SẢN XUẤTmới'!N92*0.5+'SẢN XUẤTmới'!O92*0.8)+'SẢN XUẤTmới'!Z92/2</f>
        <v>336959.13461538462</v>
      </c>
      <c r="F108" s="273">
        <f t="shared" si="18"/>
        <v>7502764.4230769221</v>
      </c>
      <c r="G108" s="132"/>
      <c r="H108" s="132"/>
      <c r="I108" s="273">
        <f t="shared" si="19"/>
        <v>0</v>
      </c>
      <c r="J108" s="273">
        <v>11000000</v>
      </c>
      <c r="K108" s="273">
        <f t="shared" si="20"/>
        <v>11000000</v>
      </c>
      <c r="L108" s="273">
        <f t="shared" si="21"/>
        <v>-3497235.5769230779</v>
      </c>
      <c r="M108" s="204">
        <f t="shared" si="23"/>
        <v>0</v>
      </c>
    </row>
    <row r="109" spans="1:13" ht="15.6" customHeight="1" x14ac:dyDescent="0.25">
      <c r="A109" s="291" t="s">
        <v>580</v>
      </c>
      <c r="B109" s="291"/>
      <c r="C109" s="291"/>
      <c r="D109" s="282">
        <f>SUBTOTAL(9,D110:D112)</f>
        <v>16634375</v>
      </c>
      <c r="E109" s="282">
        <f t="shared" ref="E109:M109" si="24">SUBTOTAL(9,E110:E112)</f>
        <v>837980.76923076925</v>
      </c>
      <c r="F109" s="282">
        <f t="shared" si="24"/>
        <v>15796394.23076923</v>
      </c>
      <c r="G109" s="282">
        <f t="shared" si="24"/>
        <v>0</v>
      </c>
      <c r="H109" s="282">
        <f t="shared" si="24"/>
        <v>0</v>
      </c>
      <c r="I109" s="282">
        <f t="shared" si="24"/>
        <v>0</v>
      </c>
      <c r="J109" s="282">
        <f t="shared" si="24"/>
        <v>33000000</v>
      </c>
      <c r="K109" s="282">
        <f t="shared" si="24"/>
        <v>33000000</v>
      </c>
      <c r="L109" s="282">
        <f t="shared" si="24"/>
        <v>-17203605.769230768</v>
      </c>
      <c r="M109" s="282">
        <f t="shared" si="24"/>
        <v>0</v>
      </c>
    </row>
    <row r="110" spans="1:13" customFormat="1" ht="15.75" x14ac:dyDescent="0.25">
      <c r="A110" s="212">
        <v>95</v>
      </c>
      <c r="B110" s="72" t="s">
        <v>30</v>
      </c>
      <c r="C110" s="73" t="s">
        <v>31</v>
      </c>
      <c r="D110" s="132">
        <f>'SẢN XUẤTmới'!AH94</f>
        <v>7087379.807692308</v>
      </c>
      <c r="E110" s="132">
        <f>'SẢN XUẤTmới'!F94/26/8*('SẢN XUẤTmới'!N94*0.5+'SẢN XUẤTmới'!O94*0.8)+'SẢN XUẤTmới'!Z94/2</f>
        <v>528725.9615384615</v>
      </c>
      <c r="F110" s="273">
        <f t="shared" si="18"/>
        <v>6558653.846153846</v>
      </c>
      <c r="G110" s="281"/>
      <c r="H110" s="281"/>
      <c r="I110" s="273">
        <f t="shared" si="19"/>
        <v>0</v>
      </c>
      <c r="J110" s="273">
        <v>11000000</v>
      </c>
      <c r="K110" s="273">
        <f t="shared" si="20"/>
        <v>11000000</v>
      </c>
      <c r="L110" s="273">
        <f t="shared" si="21"/>
        <v>-4441346.153846154</v>
      </c>
      <c r="M110" s="204">
        <f t="shared" si="23"/>
        <v>0</v>
      </c>
    </row>
    <row r="111" spans="1:13" customFormat="1" ht="15.75" x14ac:dyDescent="0.25">
      <c r="A111" s="212">
        <v>96</v>
      </c>
      <c r="B111" s="72" t="s">
        <v>32</v>
      </c>
      <c r="C111" s="73" t="s">
        <v>33</v>
      </c>
      <c r="D111" s="132">
        <f>'SẢN XUẤTmới'!AH95</f>
        <v>5288461.538461538</v>
      </c>
      <c r="E111" s="132">
        <f>'SẢN XUẤTmới'!F95/26/8*('SẢN XUẤTmới'!N95*0.5+'SẢN XUẤTmới'!O95*0.8)+'SẢN XUẤTmới'!Z95/2</f>
        <v>0</v>
      </c>
      <c r="F111" s="273">
        <f t="shared" si="18"/>
        <v>5288461.538461538</v>
      </c>
      <c r="G111" s="281"/>
      <c r="H111" s="281"/>
      <c r="I111" s="273">
        <f t="shared" si="19"/>
        <v>0</v>
      </c>
      <c r="J111" s="273">
        <v>11000000</v>
      </c>
      <c r="K111" s="273">
        <f t="shared" si="20"/>
        <v>11000000</v>
      </c>
      <c r="L111" s="273">
        <f t="shared" si="21"/>
        <v>-5711538.461538462</v>
      </c>
      <c r="M111" s="204">
        <f t="shared" si="23"/>
        <v>0</v>
      </c>
    </row>
    <row r="112" spans="1:13" customFormat="1" ht="15.75" x14ac:dyDescent="0.25">
      <c r="A112" s="212">
        <v>97</v>
      </c>
      <c r="B112" s="72" t="s">
        <v>500</v>
      </c>
      <c r="C112" s="73" t="s">
        <v>501</v>
      </c>
      <c r="D112" s="132">
        <f>'SẢN XUẤTmới'!AH96</f>
        <v>4258533.653846154</v>
      </c>
      <c r="E112" s="132">
        <f>'SẢN XUẤTmới'!F96/26/8*('SẢN XUẤTmới'!N96*0.5+'SẢN XUẤTmới'!O96*0.8)+'SẢN XUẤTmới'!Z96/2</f>
        <v>309254.80769230775</v>
      </c>
      <c r="F112" s="273">
        <f t="shared" si="18"/>
        <v>3949278.846153846</v>
      </c>
      <c r="G112" s="281"/>
      <c r="H112" s="281"/>
      <c r="I112" s="273">
        <f t="shared" si="19"/>
        <v>0</v>
      </c>
      <c r="J112" s="273">
        <v>11000000</v>
      </c>
      <c r="K112" s="273">
        <f t="shared" si="20"/>
        <v>11000000</v>
      </c>
      <c r="L112" s="273">
        <f t="shared" si="21"/>
        <v>-7050721.153846154</v>
      </c>
      <c r="M112" s="204">
        <f t="shared" si="23"/>
        <v>0</v>
      </c>
    </row>
    <row r="113" spans="1:13" s="201" customFormat="1" ht="24" customHeight="1" x14ac:dyDescent="0.25">
      <c r="A113" s="292" t="s">
        <v>627</v>
      </c>
      <c r="B113" s="292"/>
      <c r="C113" s="292"/>
      <c r="D113" s="282">
        <f>SUBTOTAL(9,D24:D112)</f>
        <v>555713634.61538446</v>
      </c>
      <c r="E113" s="282">
        <f>SUBTOTAL(9,E24:E112)</f>
        <v>66597612.980769247</v>
      </c>
      <c r="F113" s="282">
        <f t="shared" ref="F113:L113" si="25">SUBTOTAL(9,F24:F112)</f>
        <v>489116021.63461536</v>
      </c>
      <c r="G113" s="282">
        <f t="shared" si="25"/>
        <v>0</v>
      </c>
      <c r="H113" s="282">
        <f t="shared" si="25"/>
        <v>0</v>
      </c>
      <c r="I113" s="282">
        <f t="shared" si="25"/>
        <v>0</v>
      </c>
      <c r="J113" s="282">
        <f t="shared" si="25"/>
        <v>924000000</v>
      </c>
      <c r="K113" s="282">
        <f t="shared" si="25"/>
        <v>924000000</v>
      </c>
      <c r="L113" s="282">
        <f t="shared" si="25"/>
        <v>-434883978.36538458</v>
      </c>
      <c r="M113" s="284">
        <f t="shared" si="23"/>
        <v>0</v>
      </c>
    </row>
    <row r="114" spans="1:13" ht="24" customHeight="1" x14ac:dyDescent="0.25">
      <c r="A114" s="288" t="s">
        <v>628</v>
      </c>
      <c r="B114" s="288"/>
      <c r="C114" s="288"/>
      <c r="D114" s="285">
        <f>SUBTOTAL(9,D8:D113)</f>
        <v>711659067.30769229</v>
      </c>
      <c r="E114" s="285">
        <f t="shared" ref="E114:L114" si="26">SUBTOTAL(9,E8:E113)</f>
        <v>67003862.980769247</v>
      </c>
      <c r="F114" s="354">
        <f t="shared" si="26"/>
        <v>644655204.32692301</v>
      </c>
      <c r="G114" s="285">
        <f t="shared" si="26"/>
        <v>0</v>
      </c>
      <c r="H114" s="285">
        <f t="shared" si="26"/>
        <v>5</v>
      </c>
      <c r="I114" s="285">
        <f t="shared" si="26"/>
        <v>22000000</v>
      </c>
      <c r="J114" s="285">
        <f t="shared" si="26"/>
        <v>1067000000</v>
      </c>
      <c r="K114" s="285">
        <f t="shared" si="26"/>
        <v>1089000000</v>
      </c>
      <c r="L114" s="285">
        <f t="shared" si="26"/>
        <v>-444344795.67307693</v>
      </c>
      <c r="M114" s="354">
        <f>SUBTOTAL(9,M8:M113)</f>
        <v>1529356.9711538462</v>
      </c>
    </row>
    <row r="115" spans="1:13" x14ac:dyDescent="0.25"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</row>
    <row r="116" spans="1:13" s="201" customFormat="1" ht="14.25" x14ac:dyDescent="0.25"/>
  </sheetData>
  <mergeCells count="16">
    <mergeCell ref="K4:K5"/>
    <mergeCell ref="L4:L5"/>
    <mergeCell ref="M4:M5"/>
    <mergeCell ref="A2:C2"/>
    <mergeCell ref="A4:A6"/>
    <mergeCell ref="B4:B6"/>
    <mergeCell ref="C4:C6"/>
    <mergeCell ref="H4:H5"/>
    <mergeCell ref="I4:I5"/>
    <mergeCell ref="J4:J5"/>
    <mergeCell ref="F4:F6"/>
    <mergeCell ref="A14:B14"/>
    <mergeCell ref="A8:B8"/>
    <mergeCell ref="A24:B24"/>
    <mergeCell ref="D4:D6"/>
    <mergeCell ref="E4:E6"/>
  </mergeCells>
  <conditionalFormatting sqref="B17:C19">
    <cfRule type="expression" dxfId="7" priority="1">
      <formula>$O17&lt;&gt;""</formula>
    </cfRule>
  </conditionalFormatting>
  <conditionalFormatting sqref="B25:C52 B54:C54 B56:C60 B62:C73 B75:C94 C100:C101 C106 B107:C108">
    <cfRule type="expression" dxfId="4" priority="26">
      <formula>#REF!&lt;&gt;""</formula>
    </cfRule>
  </conditionalFormatting>
  <conditionalFormatting sqref="B110:C112">
    <cfRule type="expression" dxfId="3" priority="16">
      <formula>#REF!&lt;&gt;""</formula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29CA48B-BC84-41DB-9105-30CBF6D28349}">
            <xm:f>AND(TODAY()-$K17&gt;=90,$N17='\PHỤNG\CHẤM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B17:C19</xm:sqref>
        </x14:conditionalFormatting>
        <x14:conditionalFormatting xmlns:xm="http://schemas.microsoft.com/office/excel/2006/main">
          <x14:cfRule type="expression" priority="18" id="{57DCEAD9-7574-410B-9DB2-6765CF867399}">
            <xm:f>AND(TODAY()-#REF!&gt;=90,#REF!='\PHỤNG\CHẤM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B25:C52 B54:C54 B56:C60 B62:C73 B75:C94 C100:C101 C106 B107:C108</xm:sqref>
        </x14:conditionalFormatting>
        <x14:conditionalFormatting xmlns:xm="http://schemas.microsoft.com/office/excel/2006/main">
          <x14:cfRule type="expression" priority="17" id="{3130426D-FCE5-4DFC-A1EC-D887A20DD618}">
            <xm:f>AND(TODAY()-#REF!&gt;=90,#REF!='\PHỤNG\CHẤM CÔNG TÍNH LƯƠNG\[Quản lý nhân sự.xlsm]Setting'!#REF!)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B110:C112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DANH SÁCH</vt:lpstr>
      <vt:lpstr>BẢNG CHẤM CÔNG T3</vt:lpstr>
      <vt:lpstr>SẢN XUẤT cũ</vt:lpstr>
      <vt:lpstr>BẢNG LƯƠNG TỔNG</vt:lpstr>
      <vt:lpstr>Thuê LD</vt:lpstr>
      <vt:lpstr>SẢN XUẤTmới</vt:lpstr>
      <vt:lpstr>VĂN PHÒNG</vt:lpstr>
      <vt:lpstr>BẢNG LƯƠNG TỔNG mới</vt:lpstr>
      <vt:lpstr>TNCN</vt:lpstr>
      <vt:lpstr>THUE TNCN</vt:lpstr>
      <vt:lpstr>PHIẾU LƯƠNG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2024-04-03T08:04:53Z</cp:lastPrinted>
  <dcterms:created xsi:type="dcterms:W3CDTF">2024-03-27T02:53:45Z</dcterms:created>
  <dcterms:modified xsi:type="dcterms:W3CDTF">2024-04-12T09:50:40Z</dcterms:modified>
</cp:coreProperties>
</file>