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390" activeTab="11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ONGLUONG" sheetId="13" r:id="rId13"/>
    <sheet name="TONGBHXH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2" l="1"/>
  <c r="K51" i="12" s="1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V48" i="12" s="1"/>
  <c r="K31" i="12"/>
  <c r="D49" i="12"/>
  <c r="N49" i="12" s="1"/>
  <c r="D48" i="12"/>
  <c r="Q48" i="12" s="1"/>
  <c r="R49" i="12" l="1"/>
  <c r="Q49" i="12"/>
  <c r="R48" i="12"/>
  <c r="P49" i="12"/>
  <c r="S49" i="12" s="1"/>
  <c r="L49" i="12"/>
  <c r="M49" i="12"/>
  <c r="L48" i="12"/>
  <c r="N48" i="12"/>
  <c r="P48" i="12"/>
  <c r="M48" i="12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U50" i="11"/>
  <c r="V50" i="11"/>
  <c r="W50" i="11"/>
  <c r="X50" i="11"/>
  <c r="D50" i="11"/>
  <c r="V48" i="11"/>
  <c r="Y48" i="11" s="1"/>
  <c r="Z48" i="11" s="1"/>
  <c r="V49" i="11"/>
  <c r="Y49" i="11" s="1"/>
  <c r="Z49" i="11" s="1"/>
  <c r="T49" i="11" s="1"/>
  <c r="L48" i="11"/>
  <c r="M48" i="11"/>
  <c r="N48" i="11"/>
  <c r="O48" i="11"/>
  <c r="P48" i="11"/>
  <c r="S48" i="11" s="1"/>
  <c r="Q48" i="11"/>
  <c r="R48" i="11"/>
  <c r="L49" i="11"/>
  <c r="M49" i="11"/>
  <c r="N49" i="11"/>
  <c r="O49" i="11"/>
  <c r="P49" i="11"/>
  <c r="Q49" i="11"/>
  <c r="R49" i="11"/>
  <c r="S49" i="11"/>
  <c r="K48" i="11"/>
  <c r="K49" i="11"/>
  <c r="D48" i="11"/>
  <c r="E17" i="11"/>
  <c r="F17" i="11"/>
  <c r="G17" i="11"/>
  <c r="H17" i="11"/>
  <c r="I17" i="11"/>
  <c r="J17" i="11"/>
  <c r="S48" i="12" l="1"/>
  <c r="O48" i="12"/>
  <c r="O49" i="12"/>
  <c r="T48" i="11"/>
  <c r="K48" i="10"/>
  <c r="V48" i="10" s="1"/>
  <c r="D48" i="10"/>
  <c r="P48" i="10" s="1"/>
  <c r="K32" i="10"/>
  <c r="V32" i="10" s="1"/>
  <c r="L32" i="10"/>
  <c r="M32" i="10"/>
  <c r="O32" i="10" s="1"/>
  <c r="N32" i="10"/>
  <c r="P32" i="10"/>
  <c r="Q32" i="10"/>
  <c r="D32" i="10"/>
  <c r="R32" i="10" s="1"/>
  <c r="Y48" i="12" l="1"/>
  <c r="Z48" i="12" s="1"/>
  <c r="T48" i="12" s="1"/>
  <c r="S32" i="10"/>
  <c r="L48" i="10"/>
  <c r="Q48" i="10"/>
  <c r="R48" i="10"/>
  <c r="M48" i="10"/>
  <c r="N48" i="10"/>
  <c r="J17" i="8"/>
  <c r="S48" i="10" l="1"/>
  <c r="O48" i="10"/>
  <c r="K15" i="6"/>
  <c r="V15" i="6" s="1"/>
  <c r="J17" i="6"/>
  <c r="E48" i="6"/>
  <c r="Z58" i="12"/>
  <c r="Z58" i="11"/>
  <c r="Z58" i="10"/>
  <c r="Z56" i="9"/>
  <c r="Z56" i="8"/>
  <c r="X47" i="12"/>
  <c r="V47" i="12"/>
  <c r="D47" i="12"/>
  <c r="P47" i="12" s="1"/>
  <c r="K47" i="11"/>
  <c r="V47" i="11" s="1"/>
  <c r="D47" i="11"/>
  <c r="Q47" i="11" s="1"/>
  <c r="X47" i="10"/>
  <c r="K47" i="10"/>
  <c r="V47" i="10" s="1"/>
  <c r="D47" i="10"/>
  <c r="M47" i="10" s="1"/>
  <c r="X47" i="9"/>
  <c r="K47" i="9"/>
  <c r="V47" i="9" s="1"/>
  <c r="D47" i="9"/>
  <c r="R47" i="9" s="1"/>
  <c r="X47" i="8"/>
  <c r="K47" i="8"/>
  <c r="V47" i="8" s="1"/>
  <c r="D47" i="8"/>
  <c r="Q47" i="8" s="1"/>
  <c r="Z56" i="7"/>
  <c r="X48" i="6"/>
  <c r="F48" i="6"/>
  <c r="G48" i="6"/>
  <c r="H48" i="6"/>
  <c r="I48" i="6"/>
  <c r="J48" i="6"/>
  <c r="U48" i="6"/>
  <c r="W48" i="6"/>
  <c r="K56" i="6"/>
  <c r="V56" i="6" s="1"/>
  <c r="E48" i="5"/>
  <c r="F48" i="5"/>
  <c r="G48" i="5"/>
  <c r="H48" i="5"/>
  <c r="I48" i="5"/>
  <c r="J48" i="5"/>
  <c r="U48" i="5"/>
  <c r="W48" i="5"/>
  <c r="K56" i="5"/>
  <c r="V56" i="5" s="1"/>
  <c r="D56" i="5"/>
  <c r="P56" i="5" s="1"/>
  <c r="K47" i="7"/>
  <c r="V47" i="7" s="1"/>
  <c r="D47" i="7"/>
  <c r="Q47" i="7" s="1"/>
  <c r="Y48" i="10" l="1"/>
  <c r="Z48" i="10" s="1"/>
  <c r="T48" i="10" s="1"/>
  <c r="L47" i="11"/>
  <c r="Q47" i="9"/>
  <c r="P47" i="9"/>
  <c r="P47" i="7"/>
  <c r="M47" i="9"/>
  <c r="L47" i="7"/>
  <c r="L47" i="9"/>
  <c r="P47" i="11"/>
  <c r="N47" i="12"/>
  <c r="R47" i="12"/>
  <c r="M47" i="12"/>
  <c r="Q47" i="12"/>
  <c r="L47" i="12"/>
  <c r="R47" i="11"/>
  <c r="N47" i="11"/>
  <c r="M47" i="11"/>
  <c r="N47" i="10"/>
  <c r="R47" i="10"/>
  <c r="Q47" i="10"/>
  <c r="L47" i="10"/>
  <c r="P47" i="10"/>
  <c r="N47" i="9"/>
  <c r="R47" i="8"/>
  <c r="L47" i="8"/>
  <c r="P47" i="8"/>
  <c r="N47" i="8"/>
  <c r="M47" i="8"/>
  <c r="M56" i="6"/>
  <c r="Q56" i="6"/>
  <c r="S56" i="6" s="1"/>
  <c r="O56" i="6"/>
  <c r="Y56" i="6" s="1"/>
  <c r="Z56" i="6" s="1"/>
  <c r="T56" i="6" s="1"/>
  <c r="N56" i="5"/>
  <c r="R56" i="5"/>
  <c r="M56" i="5"/>
  <c r="Q56" i="5"/>
  <c r="S56" i="5" s="1"/>
  <c r="L56" i="5"/>
  <c r="N47" i="7"/>
  <c r="R47" i="7"/>
  <c r="S47" i="7" s="1"/>
  <c r="M47" i="7"/>
  <c r="K57" i="12"/>
  <c r="D57" i="12"/>
  <c r="P57" i="12" s="1"/>
  <c r="K56" i="12"/>
  <c r="V56" i="12" s="1"/>
  <c r="D56" i="12"/>
  <c r="Q56" i="12" s="1"/>
  <c r="K55" i="12"/>
  <c r="D55" i="12"/>
  <c r="P55" i="12" s="1"/>
  <c r="K54" i="12"/>
  <c r="D54" i="12"/>
  <c r="Q54" i="12" s="1"/>
  <c r="Y53" i="12"/>
  <c r="Z53" i="12" s="1"/>
  <c r="V51" i="12"/>
  <c r="D51" i="12"/>
  <c r="Q51" i="12" s="1"/>
  <c r="X50" i="12"/>
  <c r="W50" i="12"/>
  <c r="U50" i="12"/>
  <c r="I50" i="12"/>
  <c r="H50" i="12"/>
  <c r="G50" i="12"/>
  <c r="F50" i="12"/>
  <c r="E50" i="12"/>
  <c r="M46" i="12"/>
  <c r="V46" i="12"/>
  <c r="D46" i="12"/>
  <c r="R46" i="12" s="1"/>
  <c r="D45" i="12"/>
  <c r="P45" i="12" s="1"/>
  <c r="V44" i="12"/>
  <c r="D44" i="12"/>
  <c r="R44" i="12" s="1"/>
  <c r="P43" i="12"/>
  <c r="V42" i="12"/>
  <c r="D42" i="12"/>
  <c r="R42" i="12" s="1"/>
  <c r="Y40" i="12"/>
  <c r="Z40" i="12" s="1"/>
  <c r="V39" i="12"/>
  <c r="D39" i="12"/>
  <c r="R39" i="12" s="1"/>
  <c r="D38" i="12"/>
  <c r="P38" i="12" s="1"/>
  <c r="V37" i="12"/>
  <c r="Y37" i="12" s="1"/>
  <c r="Z37" i="12" s="1"/>
  <c r="X36" i="12"/>
  <c r="V36" i="12"/>
  <c r="D36" i="12"/>
  <c r="R36" i="12" s="1"/>
  <c r="D35" i="12"/>
  <c r="P35" i="12" s="1"/>
  <c r="X34" i="12"/>
  <c r="D34" i="12"/>
  <c r="P34" i="12" s="1"/>
  <c r="V33" i="12"/>
  <c r="R33" i="12"/>
  <c r="Y32" i="12"/>
  <c r="Z32" i="12" s="1"/>
  <c r="X31" i="12"/>
  <c r="V31" i="12"/>
  <c r="D31" i="12"/>
  <c r="R31" i="12" s="1"/>
  <c r="X30" i="12"/>
  <c r="K30" i="12"/>
  <c r="V30" i="12" s="1"/>
  <c r="D30" i="12"/>
  <c r="Q30" i="12" s="1"/>
  <c r="X29" i="12"/>
  <c r="K29" i="12"/>
  <c r="D29" i="12"/>
  <c r="P29" i="12" s="1"/>
  <c r="X28" i="12"/>
  <c r="K28" i="12"/>
  <c r="D28" i="12"/>
  <c r="P28" i="12" s="1"/>
  <c r="K27" i="12"/>
  <c r="V27" i="12" s="1"/>
  <c r="D27" i="12"/>
  <c r="Q27" i="12" s="1"/>
  <c r="K26" i="12"/>
  <c r="D26" i="12"/>
  <c r="P26" i="12" s="1"/>
  <c r="X25" i="12"/>
  <c r="K25" i="12"/>
  <c r="V25" i="12" s="1"/>
  <c r="D25" i="12"/>
  <c r="R25" i="12" s="1"/>
  <c r="K24" i="12"/>
  <c r="D24" i="12"/>
  <c r="P24" i="12" s="1"/>
  <c r="K23" i="12"/>
  <c r="V23" i="12" s="1"/>
  <c r="D23" i="12"/>
  <c r="R23" i="12" s="1"/>
  <c r="X22" i="12"/>
  <c r="K22" i="12"/>
  <c r="V22" i="12" s="1"/>
  <c r="D22" i="12"/>
  <c r="Q22" i="12" s="1"/>
  <c r="X21" i="12"/>
  <c r="K21" i="12"/>
  <c r="D21" i="12"/>
  <c r="P21" i="12" s="1"/>
  <c r="X20" i="12"/>
  <c r="K20" i="12"/>
  <c r="P20" i="12"/>
  <c r="X19" i="12"/>
  <c r="K19" i="12"/>
  <c r="V19" i="12" s="1"/>
  <c r="R19" i="12"/>
  <c r="W17" i="12"/>
  <c r="U17" i="12"/>
  <c r="J17" i="12"/>
  <c r="I17" i="12"/>
  <c r="H17" i="12"/>
  <c r="G17" i="12"/>
  <c r="F17" i="12"/>
  <c r="E17" i="12"/>
  <c r="X16" i="12"/>
  <c r="X13" i="12" s="1"/>
  <c r="K16" i="12"/>
  <c r="D16" i="12"/>
  <c r="P16" i="12" s="1"/>
  <c r="K15" i="12"/>
  <c r="V15" i="12" s="1"/>
  <c r="D15" i="12"/>
  <c r="R15" i="12" s="1"/>
  <c r="K14" i="12"/>
  <c r="D14" i="12"/>
  <c r="P14" i="12" s="1"/>
  <c r="W13" i="12"/>
  <c r="U13" i="12"/>
  <c r="J13" i="12"/>
  <c r="I13" i="12"/>
  <c r="H13" i="12"/>
  <c r="G13" i="12"/>
  <c r="F13" i="12"/>
  <c r="E13" i="12"/>
  <c r="V12" i="12"/>
  <c r="V11" i="12" s="1"/>
  <c r="D12" i="12"/>
  <c r="R12" i="12" s="1"/>
  <c r="R11" i="12" s="1"/>
  <c r="Z11" i="12"/>
  <c r="Y11" i="12"/>
  <c r="X11" i="12"/>
  <c r="W11" i="12"/>
  <c r="U11" i="12"/>
  <c r="T11" i="12"/>
  <c r="K11" i="12"/>
  <c r="J11" i="12"/>
  <c r="I11" i="12"/>
  <c r="H11" i="12"/>
  <c r="G11" i="12"/>
  <c r="F11" i="12"/>
  <c r="E11" i="12"/>
  <c r="L57" i="11"/>
  <c r="K57" i="11"/>
  <c r="V57" i="11" s="1"/>
  <c r="D57" i="11"/>
  <c r="R57" i="11" s="1"/>
  <c r="K56" i="11"/>
  <c r="V56" i="11" s="1"/>
  <c r="D56" i="11"/>
  <c r="Q56" i="11" s="1"/>
  <c r="K55" i="11"/>
  <c r="V55" i="11" s="1"/>
  <c r="D55" i="11"/>
  <c r="R55" i="11" s="1"/>
  <c r="K54" i="11"/>
  <c r="V54" i="11" s="1"/>
  <c r="D54" i="11"/>
  <c r="Q54" i="11" s="1"/>
  <c r="Y53" i="11"/>
  <c r="Z53" i="11" s="1"/>
  <c r="K51" i="11"/>
  <c r="V51" i="11" s="1"/>
  <c r="D51" i="11"/>
  <c r="Q51" i="11" s="1"/>
  <c r="K46" i="11"/>
  <c r="D46" i="11"/>
  <c r="R46" i="11" s="1"/>
  <c r="K45" i="11"/>
  <c r="V45" i="11" s="1"/>
  <c r="D45" i="11"/>
  <c r="P45" i="11" s="1"/>
  <c r="K44" i="11"/>
  <c r="D44" i="11"/>
  <c r="R44" i="11" s="1"/>
  <c r="K43" i="11"/>
  <c r="V43" i="11" s="1"/>
  <c r="D43" i="11"/>
  <c r="P43" i="11" s="1"/>
  <c r="K42" i="11"/>
  <c r="D42" i="11"/>
  <c r="R42" i="11" s="1"/>
  <c r="Y40" i="11"/>
  <c r="Z40" i="11" s="1"/>
  <c r="K39" i="11"/>
  <c r="V39" i="11" s="1"/>
  <c r="D39" i="11"/>
  <c r="R39" i="11" s="1"/>
  <c r="K38" i="11"/>
  <c r="V38" i="11" s="1"/>
  <c r="D38" i="11"/>
  <c r="P38" i="11" s="1"/>
  <c r="V37" i="11"/>
  <c r="Y37" i="11" s="1"/>
  <c r="Z37" i="11" s="1"/>
  <c r="X36" i="11"/>
  <c r="K36" i="11"/>
  <c r="V36" i="11" s="1"/>
  <c r="D36" i="11"/>
  <c r="R36" i="11" s="1"/>
  <c r="K35" i="11"/>
  <c r="V35" i="11" s="1"/>
  <c r="D35" i="11"/>
  <c r="P35" i="11" s="1"/>
  <c r="X34" i="11"/>
  <c r="K34" i="11"/>
  <c r="V34" i="11" s="1"/>
  <c r="D34" i="11"/>
  <c r="R34" i="11" s="1"/>
  <c r="K33" i="11"/>
  <c r="V33" i="11" s="1"/>
  <c r="D49" i="11"/>
  <c r="Q33" i="11" s="1"/>
  <c r="Y32" i="11"/>
  <c r="Z32" i="11" s="1"/>
  <c r="X31" i="11"/>
  <c r="K31" i="11"/>
  <c r="V31" i="11" s="1"/>
  <c r="D31" i="11"/>
  <c r="R31" i="11" s="1"/>
  <c r="X30" i="11"/>
  <c r="K30" i="11"/>
  <c r="V30" i="11" s="1"/>
  <c r="D30" i="11"/>
  <c r="Q30" i="11" s="1"/>
  <c r="X29" i="11"/>
  <c r="K29" i="11"/>
  <c r="V29" i="11" s="1"/>
  <c r="D29" i="11"/>
  <c r="P29" i="11" s="1"/>
  <c r="X28" i="11"/>
  <c r="K28" i="11"/>
  <c r="V28" i="11" s="1"/>
  <c r="D28" i="11"/>
  <c r="R28" i="11" s="1"/>
  <c r="K27" i="11"/>
  <c r="V27" i="11" s="1"/>
  <c r="D27" i="11"/>
  <c r="Q27" i="11" s="1"/>
  <c r="K26" i="11"/>
  <c r="V26" i="11" s="1"/>
  <c r="D26" i="11"/>
  <c r="R26" i="11" s="1"/>
  <c r="X25" i="11"/>
  <c r="K25" i="11"/>
  <c r="V25" i="11" s="1"/>
  <c r="D25" i="11"/>
  <c r="R25" i="11" s="1"/>
  <c r="K24" i="11"/>
  <c r="V24" i="11" s="1"/>
  <c r="D24" i="11"/>
  <c r="P24" i="11" s="1"/>
  <c r="K23" i="11"/>
  <c r="V23" i="11" s="1"/>
  <c r="D23" i="11"/>
  <c r="R23" i="11" s="1"/>
  <c r="X22" i="11"/>
  <c r="K22" i="11"/>
  <c r="V22" i="11" s="1"/>
  <c r="D22" i="11"/>
  <c r="X21" i="11"/>
  <c r="K21" i="11"/>
  <c r="V21" i="11" s="1"/>
  <c r="D21" i="11"/>
  <c r="P21" i="11" s="1"/>
  <c r="X20" i="11"/>
  <c r="K20" i="11"/>
  <c r="V20" i="11" s="1"/>
  <c r="R20" i="11"/>
  <c r="X19" i="11"/>
  <c r="K19" i="11"/>
  <c r="R19" i="11"/>
  <c r="W17" i="11"/>
  <c r="U17" i="11"/>
  <c r="X16" i="11"/>
  <c r="X13" i="11" s="1"/>
  <c r="K16" i="11"/>
  <c r="V16" i="11" s="1"/>
  <c r="D16" i="11"/>
  <c r="P16" i="11" s="1"/>
  <c r="L15" i="11"/>
  <c r="K15" i="11"/>
  <c r="V15" i="11" s="1"/>
  <c r="D15" i="11"/>
  <c r="R15" i="11" s="1"/>
  <c r="K14" i="11"/>
  <c r="D14" i="11"/>
  <c r="P14" i="11" s="1"/>
  <c r="W13" i="11"/>
  <c r="U13" i="11"/>
  <c r="J13" i="11"/>
  <c r="I13" i="11"/>
  <c r="H13" i="11"/>
  <c r="G13" i="11"/>
  <c r="F13" i="11"/>
  <c r="E13" i="11"/>
  <c r="V12" i="11"/>
  <c r="V11" i="11" s="1"/>
  <c r="D12" i="11"/>
  <c r="R12" i="11" s="1"/>
  <c r="R11" i="11" s="1"/>
  <c r="Z11" i="11"/>
  <c r="Y11" i="11"/>
  <c r="X11" i="11"/>
  <c r="W11" i="11"/>
  <c r="U11" i="11"/>
  <c r="T11" i="11"/>
  <c r="K11" i="11"/>
  <c r="J11" i="11"/>
  <c r="I11" i="11"/>
  <c r="H11" i="11"/>
  <c r="G11" i="11"/>
  <c r="F11" i="11"/>
  <c r="E11" i="11"/>
  <c r="K57" i="10"/>
  <c r="V57" i="10" s="1"/>
  <c r="D57" i="10"/>
  <c r="R57" i="10" s="1"/>
  <c r="K56" i="10"/>
  <c r="V56" i="10" s="1"/>
  <c r="D56" i="10"/>
  <c r="Q56" i="10" s="1"/>
  <c r="K55" i="10"/>
  <c r="V55" i="10" s="1"/>
  <c r="D55" i="10"/>
  <c r="R55" i="10" s="1"/>
  <c r="K54" i="10"/>
  <c r="V54" i="10" s="1"/>
  <c r="D54" i="10"/>
  <c r="Q54" i="10" s="1"/>
  <c r="Y53" i="10"/>
  <c r="Z53" i="10" s="1"/>
  <c r="K51" i="10"/>
  <c r="V51" i="10" s="1"/>
  <c r="D51" i="10"/>
  <c r="Q51" i="10" s="1"/>
  <c r="X50" i="10"/>
  <c r="W50" i="10"/>
  <c r="U50" i="10"/>
  <c r="J50" i="10"/>
  <c r="I50" i="10"/>
  <c r="H50" i="10"/>
  <c r="G50" i="10"/>
  <c r="F50" i="10"/>
  <c r="E50" i="10"/>
  <c r="K46" i="10"/>
  <c r="V46" i="10" s="1"/>
  <c r="D46" i="10"/>
  <c r="R46" i="10" s="1"/>
  <c r="K45" i="10"/>
  <c r="V45" i="10" s="1"/>
  <c r="D45" i="10"/>
  <c r="P45" i="10" s="1"/>
  <c r="K44" i="10"/>
  <c r="V44" i="10" s="1"/>
  <c r="D44" i="10"/>
  <c r="R44" i="10" s="1"/>
  <c r="K43" i="10"/>
  <c r="V43" i="10" s="1"/>
  <c r="P43" i="10"/>
  <c r="K42" i="10"/>
  <c r="V42" i="10" s="1"/>
  <c r="D42" i="10"/>
  <c r="R42" i="10" s="1"/>
  <c r="Y40" i="10"/>
  <c r="Z40" i="10" s="1"/>
  <c r="K39" i="10"/>
  <c r="V39" i="10" s="1"/>
  <c r="D39" i="10"/>
  <c r="R39" i="10" s="1"/>
  <c r="K38" i="10"/>
  <c r="V38" i="10" s="1"/>
  <c r="D38" i="10"/>
  <c r="P38" i="10" s="1"/>
  <c r="V37" i="10"/>
  <c r="Y37" i="10" s="1"/>
  <c r="Z37" i="10" s="1"/>
  <c r="X36" i="10"/>
  <c r="K36" i="10"/>
  <c r="D36" i="10"/>
  <c r="R36" i="10" s="1"/>
  <c r="K35" i="10"/>
  <c r="V35" i="10" s="1"/>
  <c r="D35" i="10"/>
  <c r="P35" i="10" s="1"/>
  <c r="X34" i="10"/>
  <c r="K34" i="10"/>
  <c r="V34" i="10" s="1"/>
  <c r="D34" i="10"/>
  <c r="R34" i="10" s="1"/>
  <c r="K33" i="10"/>
  <c r="V33" i="10" s="1"/>
  <c r="D33" i="10"/>
  <c r="Q33" i="10" s="1"/>
  <c r="Y32" i="10"/>
  <c r="Z32" i="10" s="1"/>
  <c r="T32" i="10" s="1"/>
  <c r="X31" i="10"/>
  <c r="K31" i="10"/>
  <c r="D31" i="10"/>
  <c r="R31" i="10" s="1"/>
  <c r="X30" i="10"/>
  <c r="K30" i="10"/>
  <c r="V30" i="10" s="1"/>
  <c r="D30" i="10"/>
  <c r="Q30" i="10" s="1"/>
  <c r="X29" i="10"/>
  <c r="K29" i="10"/>
  <c r="V29" i="10" s="1"/>
  <c r="D29" i="10"/>
  <c r="P29" i="10" s="1"/>
  <c r="X28" i="10"/>
  <c r="K28" i="10"/>
  <c r="V28" i="10" s="1"/>
  <c r="D28" i="10"/>
  <c r="R28" i="10" s="1"/>
  <c r="K27" i="10"/>
  <c r="V27" i="10" s="1"/>
  <c r="D27" i="10"/>
  <c r="Q27" i="10" s="1"/>
  <c r="K26" i="10"/>
  <c r="V26" i="10" s="1"/>
  <c r="D26" i="10"/>
  <c r="R26" i="10" s="1"/>
  <c r="X25" i="10"/>
  <c r="K25" i="10"/>
  <c r="D25" i="10"/>
  <c r="R25" i="10" s="1"/>
  <c r="K24" i="10"/>
  <c r="V24" i="10" s="1"/>
  <c r="D24" i="10"/>
  <c r="P24" i="10" s="1"/>
  <c r="K23" i="10"/>
  <c r="D23" i="10"/>
  <c r="R23" i="10" s="1"/>
  <c r="X22" i="10"/>
  <c r="K22" i="10"/>
  <c r="V22" i="10" s="1"/>
  <c r="D22" i="10"/>
  <c r="Q22" i="10" s="1"/>
  <c r="X21" i="10"/>
  <c r="K21" i="10"/>
  <c r="V21" i="10" s="1"/>
  <c r="D21" i="10"/>
  <c r="P21" i="10" s="1"/>
  <c r="X20" i="10"/>
  <c r="Q20" i="10"/>
  <c r="K20" i="10"/>
  <c r="V20" i="10" s="1"/>
  <c r="R20" i="10"/>
  <c r="X19" i="10"/>
  <c r="K19" i="10"/>
  <c r="D19" i="10"/>
  <c r="R19" i="10" s="1"/>
  <c r="W17" i="10"/>
  <c r="U17" i="10"/>
  <c r="J17" i="10"/>
  <c r="I17" i="10"/>
  <c r="H17" i="10"/>
  <c r="G17" i="10"/>
  <c r="F17" i="10"/>
  <c r="E17" i="10"/>
  <c r="X16" i="10"/>
  <c r="X13" i="10" s="1"/>
  <c r="K16" i="10"/>
  <c r="V16" i="10" s="1"/>
  <c r="D16" i="10"/>
  <c r="P16" i="10" s="1"/>
  <c r="K15" i="10"/>
  <c r="D15" i="10"/>
  <c r="R15" i="10" s="1"/>
  <c r="K14" i="10"/>
  <c r="D14" i="10"/>
  <c r="P14" i="10" s="1"/>
  <c r="W13" i="10"/>
  <c r="U13" i="10"/>
  <c r="J13" i="10"/>
  <c r="I13" i="10"/>
  <c r="H13" i="10"/>
  <c r="G13" i="10"/>
  <c r="F13" i="10"/>
  <c r="E13" i="10"/>
  <c r="V12" i="10"/>
  <c r="V11" i="10" s="1"/>
  <c r="D12" i="10"/>
  <c r="R12" i="10" s="1"/>
  <c r="R11" i="10" s="1"/>
  <c r="Z11" i="10"/>
  <c r="Y11" i="10"/>
  <c r="X11" i="10"/>
  <c r="W11" i="10"/>
  <c r="U11" i="10"/>
  <c r="T11" i="10"/>
  <c r="K11" i="10"/>
  <c r="J11" i="10"/>
  <c r="I11" i="10"/>
  <c r="H11" i="10"/>
  <c r="G11" i="10"/>
  <c r="F11" i="10"/>
  <c r="E11" i="10"/>
  <c r="K55" i="9"/>
  <c r="V55" i="9" s="1"/>
  <c r="D55" i="9"/>
  <c r="R55" i="9" s="1"/>
  <c r="K54" i="9"/>
  <c r="V54" i="9" s="1"/>
  <c r="D54" i="9"/>
  <c r="Q54" i="9" s="1"/>
  <c r="K53" i="9"/>
  <c r="V53" i="9" s="1"/>
  <c r="D53" i="9"/>
  <c r="R53" i="9" s="1"/>
  <c r="K52" i="9"/>
  <c r="V52" i="9" s="1"/>
  <c r="D52" i="9"/>
  <c r="Q52" i="9" s="1"/>
  <c r="Y51" i="9"/>
  <c r="Z51" i="9" s="1"/>
  <c r="K49" i="9"/>
  <c r="V49" i="9" s="1"/>
  <c r="D49" i="9"/>
  <c r="Q49" i="9" s="1"/>
  <c r="X48" i="9"/>
  <c r="W48" i="9"/>
  <c r="U48" i="9"/>
  <c r="J48" i="9"/>
  <c r="I48" i="9"/>
  <c r="H48" i="9"/>
  <c r="G48" i="9"/>
  <c r="F48" i="9"/>
  <c r="E48" i="9"/>
  <c r="K46" i="9"/>
  <c r="D46" i="9"/>
  <c r="R46" i="9" s="1"/>
  <c r="K45" i="9"/>
  <c r="V45" i="9" s="1"/>
  <c r="D45" i="9"/>
  <c r="P45" i="9" s="1"/>
  <c r="K44" i="9"/>
  <c r="D44" i="9"/>
  <c r="R44" i="9" s="1"/>
  <c r="K43" i="9"/>
  <c r="V43" i="9" s="1"/>
  <c r="P43" i="9"/>
  <c r="K42" i="9"/>
  <c r="D42" i="9"/>
  <c r="R42" i="9" s="1"/>
  <c r="Y40" i="9"/>
  <c r="Z40" i="9" s="1"/>
  <c r="K39" i="9"/>
  <c r="V39" i="9" s="1"/>
  <c r="D39" i="9"/>
  <c r="R39" i="9" s="1"/>
  <c r="K38" i="9"/>
  <c r="V38" i="9" s="1"/>
  <c r="D38" i="9"/>
  <c r="P38" i="9" s="1"/>
  <c r="V37" i="9"/>
  <c r="Y37" i="9" s="1"/>
  <c r="Z37" i="9" s="1"/>
  <c r="X36" i="9"/>
  <c r="L36" i="9"/>
  <c r="K36" i="9"/>
  <c r="V36" i="9" s="1"/>
  <c r="D36" i="9"/>
  <c r="R36" i="9" s="1"/>
  <c r="K35" i="9"/>
  <c r="V35" i="9" s="1"/>
  <c r="D35" i="9"/>
  <c r="P35" i="9" s="1"/>
  <c r="X34" i="9"/>
  <c r="K34" i="9"/>
  <c r="V34" i="9" s="1"/>
  <c r="D34" i="9"/>
  <c r="R34" i="9" s="1"/>
  <c r="K33" i="9"/>
  <c r="V33" i="9" s="1"/>
  <c r="D33" i="9"/>
  <c r="Q33" i="9" s="1"/>
  <c r="Y32" i="9"/>
  <c r="Z32" i="9" s="1"/>
  <c r="X31" i="9"/>
  <c r="K31" i="9"/>
  <c r="V31" i="9" s="1"/>
  <c r="D31" i="9"/>
  <c r="R31" i="9" s="1"/>
  <c r="X30" i="9"/>
  <c r="K30" i="9"/>
  <c r="V30" i="9" s="1"/>
  <c r="D30" i="9"/>
  <c r="Q30" i="9" s="1"/>
  <c r="X29" i="9"/>
  <c r="K29" i="9"/>
  <c r="V29" i="9" s="1"/>
  <c r="D29" i="9"/>
  <c r="P29" i="9" s="1"/>
  <c r="X28" i="9"/>
  <c r="K28" i="9"/>
  <c r="V28" i="9" s="1"/>
  <c r="D28" i="9"/>
  <c r="R28" i="9" s="1"/>
  <c r="K27" i="9"/>
  <c r="V27" i="9" s="1"/>
  <c r="D27" i="9"/>
  <c r="Q27" i="9" s="1"/>
  <c r="K26" i="9"/>
  <c r="V26" i="9" s="1"/>
  <c r="D26" i="9"/>
  <c r="P26" i="9" s="1"/>
  <c r="X25" i="9"/>
  <c r="K25" i="9"/>
  <c r="V25" i="9" s="1"/>
  <c r="D25" i="9"/>
  <c r="R25" i="9" s="1"/>
  <c r="K24" i="9"/>
  <c r="D24" i="9"/>
  <c r="P24" i="9" s="1"/>
  <c r="P23" i="9"/>
  <c r="K23" i="9"/>
  <c r="V23" i="9" s="1"/>
  <c r="D23" i="9"/>
  <c r="R23" i="9" s="1"/>
  <c r="X22" i="9"/>
  <c r="K22" i="9"/>
  <c r="V22" i="9" s="1"/>
  <c r="D22" i="9"/>
  <c r="Q22" i="9" s="1"/>
  <c r="X21" i="9"/>
  <c r="K21" i="9"/>
  <c r="D21" i="9"/>
  <c r="P21" i="9" s="1"/>
  <c r="X20" i="9"/>
  <c r="K20" i="9"/>
  <c r="P20" i="9"/>
  <c r="X19" i="9"/>
  <c r="K19" i="9"/>
  <c r="D19" i="9"/>
  <c r="R19" i="9" s="1"/>
  <c r="W17" i="9"/>
  <c r="U17" i="9"/>
  <c r="J17" i="9"/>
  <c r="I17" i="9"/>
  <c r="H17" i="9"/>
  <c r="G17" i="9"/>
  <c r="F17" i="9"/>
  <c r="E17" i="9"/>
  <c r="X16" i="9"/>
  <c r="X13" i="9" s="1"/>
  <c r="L16" i="9"/>
  <c r="K16" i="9"/>
  <c r="D16" i="9"/>
  <c r="P16" i="9" s="1"/>
  <c r="K15" i="9"/>
  <c r="D15" i="9"/>
  <c r="R15" i="9" s="1"/>
  <c r="K14" i="9"/>
  <c r="D14" i="9"/>
  <c r="P14" i="9" s="1"/>
  <c r="W13" i="9"/>
  <c r="U13" i="9"/>
  <c r="J13" i="9"/>
  <c r="I13" i="9"/>
  <c r="H13" i="9"/>
  <c r="G13" i="9"/>
  <c r="F13" i="9"/>
  <c r="E13" i="9"/>
  <c r="V12" i="9"/>
  <c r="V11" i="9" s="1"/>
  <c r="D12" i="9"/>
  <c r="R12" i="9" s="1"/>
  <c r="R11" i="9" s="1"/>
  <c r="Z11" i="9"/>
  <c r="Y11" i="9"/>
  <c r="X11" i="9"/>
  <c r="W11" i="9"/>
  <c r="U11" i="9"/>
  <c r="T11" i="9"/>
  <c r="K11" i="9"/>
  <c r="J11" i="9"/>
  <c r="I11" i="9"/>
  <c r="H11" i="9"/>
  <c r="G11" i="9"/>
  <c r="F11" i="9"/>
  <c r="E11" i="9"/>
  <c r="D11" i="9"/>
  <c r="K55" i="8"/>
  <c r="V55" i="8" s="1"/>
  <c r="D55" i="8"/>
  <c r="R55" i="8" s="1"/>
  <c r="K54" i="8"/>
  <c r="V54" i="8" s="1"/>
  <c r="D54" i="8"/>
  <c r="Q54" i="8" s="1"/>
  <c r="K53" i="8"/>
  <c r="D53" i="8"/>
  <c r="R53" i="8" s="1"/>
  <c r="K52" i="8"/>
  <c r="V52" i="8" s="1"/>
  <c r="D52" i="8"/>
  <c r="Q52" i="8" s="1"/>
  <c r="Y51" i="8"/>
  <c r="Z51" i="8" s="1"/>
  <c r="K49" i="8"/>
  <c r="V49" i="8" s="1"/>
  <c r="D49" i="8"/>
  <c r="Q49" i="8" s="1"/>
  <c r="X48" i="8"/>
  <c r="W48" i="8"/>
  <c r="U48" i="8"/>
  <c r="J48" i="8"/>
  <c r="I48" i="8"/>
  <c r="H48" i="8"/>
  <c r="G48" i="8"/>
  <c r="F48" i="8"/>
  <c r="E48" i="8"/>
  <c r="K46" i="8"/>
  <c r="D46" i="8"/>
  <c r="R46" i="8" s="1"/>
  <c r="K45" i="8"/>
  <c r="V45" i="8" s="1"/>
  <c r="D45" i="8"/>
  <c r="P45" i="8" s="1"/>
  <c r="K44" i="8"/>
  <c r="D44" i="8"/>
  <c r="R44" i="8" s="1"/>
  <c r="K43" i="8"/>
  <c r="V43" i="8" s="1"/>
  <c r="P43" i="8"/>
  <c r="K42" i="8"/>
  <c r="D42" i="8"/>
  <c r="R42" i="8" s="1"/>
  <c r="Y40" i="8"/>
  <c r="Z40" i="8" s="1"/>
  <c r="K39" i="8"/>
  <c r="V39" i="8" s="1"/>
  <c r="D39" i="8"/>
  <c r="R39" i="8" s="1"/>
  <c r="K38" i="8"/>
  <c r="V38" i="8" s="1"/>
  <c r="D38" i="8"/>
  <c r="P38" i="8" s="1"/>
  <c r="V37" i="8"/>
  <c r="Y37" i="8" s="1"/>
  <c r="Z37" i="8" s="1"/>
  <c r="X36" i="8"/>
  <c r="K36" i="8"/>
  <c r="V36" i="8" s="1"/>
  <c r="D36" i="8"/>
  <c r="R36" i="8" s="1"/>
  <c r="K35" i="8"/>
  <c r="V35" i="8" s="1"/>
  <c r="D35" i="8"/>
  <c r="P35" i="8" s="1"/>
  <c r="X34" i="8"/>
  <c r="M34" i="8"/>
  <c r="L34" i="8"/>
  <c r="K34" i="8"/>
  <c r="V34" i="8" s="1"/>
  <c r="D34" i="8"/>
  <c r="R34" i="8" s="1"/>
  <c r="K33" i="8"/>
  <c r="V33" i="8" s="1"/>
  <c r="D33" i="8"/>
  <c r="Q33" i="8" s="1"/>
  <c r="Y32" i="8"/>
  <c r="Z32" i="8" s="1"/>
  <c r="X31" i="8"/>
  <c r="K31" i="8"/>
  <c r="V31" i="8" s="1"/>
  <c r="D31" i="8"/>
  <c r="R31" i="8" s="1"/>
  <c r="X30" i="8"/>
  <c r="K30" i="8"/>
  <c r="V30" i="8" s="1"/>
  <c r="D30" i="8"/>
  <c r="Q30" i="8" s="1"/>
  <c r="X29" i="8"/>
  <c r="K29" i="8"/>
  <c r="V29" i="8" s="1"/>
  <c r="D29" i="8"/>
  <c r="P29" i="8" s="1"/>
  <c r="X28" i="8"/>
  <c r="K28" i="8"/>
  <c r="V28" i="8" s="1"/>
  <c r="D28" i="8"/>
  <c r="R28" i="8" s="1"/>
  <c r="K27" i="8"/>
  <c r="V27" i="8" s="1"/>
  <c r="D27" i="8"/>
  <c r="Q27" i="8" s="1"/>
  <c r="K26" i="8"/>
  <c r="V26" i="8" s="1"/>
  <c r="D26" i="8"/>
  <c r="R26" i="8" s="1"/>
  <c r="X25" i="8"/>
  <c r="K25" i="8"/>
  <c r="V25" i="8" s="1"/>
  <c r="D25" i="8"/>
  <c r="R25" i="8" s="1"/>
  <c r="K24" i="8"/>
  <c r="V24" i="8" s="1"/>
  <c r="D24" i="8"/>
  <c r="P24" i="8" s="1"/>
  <c r="K23" i="8"/>
  <c r="V23" i="8" s="1"/>
  <c r="D23" i="8"/>
  <c r="R23" i="8" s="1"/>
  <c r="X22" i="8"/>
  <c r="K22" i="8"/>
  <c r="V22" i="8" s="1"/>
  <c r="D22" i="8"/>
  <c r="Q22" i="8" s="1"/>
  <c r="X21" i="8"/>
  <c r="K21" i="8"/>
  <c r="D21" i="8"/>
  <c r="P21" i="8" s="1"/>
  <c r="X20" i="8"/>
  <c r="K20" i="8"/>
  <c r="V20" i="8" s="1"/>
  <c r="D20" i="8"/>
  <c r="P20" i="8" s="1"/>
  <c r="X19" i="8"/>
  <c r="L19" i="8"/>
  <c r="K19" i="8"/>
  <c r="D19" i="8"/>
  <c r="R19" i="8" s="1"/>
  <c r="W17" i="8"/>
  <c r="U17" i="8"/>
  <c r="I17" i="8"/>
  <c r="H17" i="8"/>
  <c r="G17" i="8"/>
  <c r="F17" i="8"/>
  <c r="E17" i="8"/>
  <c r="X16" i="8"/>
  <c r="X13" i="8" s="1"/>
  <c r="K16" i="8"/>
  <c r="D16" i="8"/>
  <c r="P16" i="8" s="1"/>
  <c r="K15" i="8"/>
  <c r="D15" i="8"/>
  <c r="R15" i="8" s="1"/>
  <c r="K14" i="8"/>
  <c r="D14" i="8"/>
  <c r="P14" i="8" s="1"/>
  <c r="W13" i="8"/>
  <c r="U13" i="8"/>
  <c r="J13" i="8"/>
  <c r="I13" i="8"/>
  <c r="H13" i="8"/>
  <c r="G13" i="8"/>
  <c r="F13" i="8"/>
  <c r="E13" i="8"/>
  <c r="V12" i="8"/>
  <c r="V11" i="8" s="1"/>
  <c r="D12" i="8"/>
  <c r="R12" i="8" s="1"/>
  <c r="R11" i="8" s="1"/>
  <c r="Z11" i="8"/>
  <c r="Y11" i="8"/>
  <c r="X11" i="8"/>
  <c r="W11" i="8"/>
  <c r="U11" i="8"/>
  <c r="T11" i="8"/>
  <c r="K11" i="8"/>
  <c r="J11" i="8"/>
  <c r="I11" i="8"/>
  <c r="H11" i="8"/>
  <c r="G11" i="8"/>
  <c r="F11" i="8"/>
  <c r="E11" i="8"/>
  <c r="K55" i="7"/>
  <c r="D55" i="7"/>
  <c r="P55" i="7" s="1"/>
  <c r="K54" i="7"/>
  <c r="V54" i="7" s="1"/>
  <c r="D54" i="7"/>
  <c r="R54" i="7" s="1"/>
  <c r="K53" i="7"/>
  <c r="D53" i="7"/>
  <c r="P53" i="7" s="1"/>
  <c r="K52" i="7"/>
  <c r="V52" i="7" s="1"/>
  <c r="D52" i="7"/>
  <c r="Q52" i="7" s="1"/>
  <c r="Y51" i="7"/>
  <c r="Z51" i="7" s="1"/>
  <c r="K49" i="7"/>
  <c r="V49" i="7" s="1"/>
  <c r="D49" i="7"/>
  <c r="R49" i="7" s="1"/>
  <c r="X48" i="7"/>
  <c r="W48" i="7"/>
  <c r="U48" i="7"/>
  <c r="J48" i="7"/>
  <c r="I48" i="7"/>
  <c r="H48" i="7"/>
  <c r="G48" i="7"/>
  <c r="F48" i="7"/>
  <c r="E48" i="7"/>
  <c r="K46" i="7"/>
  <c r="V46" i="7" s="1"/>
  <c r="D46" i="7"/>
  <c r="R46" i="7" s="1"/>
  <c r="K45" i="7"/>
  <c r="D45" i="7"/>
  <c r="P45" i="7" s="1"/>
  <c r="K44" i="7"/>
  <c r="D44" i="7"/>
  <c r="R44" i="7" s="1"/>
  <c r="M43" i="7"/>
  <c r="K43" i="7"/>
  <c r="D43" i="7"/>
  <c r="P43" i="7" s="1"/>
  <c r="K42" i="7"/>
  <c r="D42" i="7"/>
  <c r="R42" i="7" s="1"/>
  <c r="Y40" i="7"/>
  <c r="Z40" i="7" s="1"/>
  <c r="K39" i="7"/>
  <c r="D39" i="7"/>
  <c r="R39" i="7" s="1"/>
  <c r="K38" i="7"/>
  <c r="D38" i="7"/>
  <c r="P38" i="7" s="1"/>
  <c r="V37" i="7"/>
  <c r="Y37" i="7" s="1"/>
  <c r="Z37" i="7" s="1"/>
  <c r="X36" i="7"/>
  <c r="K36" i="7"/>
  <c r="D36" i="7"/>
  <c r="R36" i="7" s="1"/>
  <c r="K35" i="7"/>
  <c r="D35" i="7"/>
  <c r="P35" i="7" s="1"/>
  <c r="X34" i="7"/>
  <c r="K34" i="7"/>
  <c r="D34" i="7"/>
  <c r="P34" i="7" s="1"/>
  <c r="K33" i="7"/>
  <c r="V33" i="7" s="1"/>
  <c r="D33" i="7"/>
  <c r="Q33" i="7" s="1"/>
  <c r="Y32" i="7"/>
  <c r="Z32" i="7" s="1"/>
  <c r="X31" i="7"/>
  <c r="K31" i="7"/>
  <c r="D31" i="7"/>
  <c r="R31" i="7" s="1"/>
  <c r="X30" i="7"/>
  <c r="K30" i="7"/>
  <c r="V30" i="7" s="1"/>
  <c r="D30" i="7"/>
  <c r="Q30" i="7" s="1"/>
  <c r="X29" i="7"/>
  <c r="K29" i="7"/>
  <c r="D29" i="7"/>
  <c r="P29" i="7" s="1"/>
  <c r="X28" i="7"/>
  <c r="K28" i="7"/>
  <c r="D28" i="7"/>
  <c r="P28" i="7" s="1"/>
  <c r="K27" i="7"/>
  <c r="V27" i="7" s="1"/>
  <c r="D27" i="7"/>
  <c r="Q27" i="7" s="1"/>
  <c r="K26" i="7"/>
  <c r="D26" i="7"/>
  <c r="P26" i="7" s="1"/>
  <c r="X25" i="7"/>
  <c r="K25" i="7"/>
  <c r="V25" i="7" s="1"/>
  <c r="D25" i="7"/>
  <c r="R25" i="7" s="1"/>
  <c r="K24" i="7"/>
  <c r="D24" i="7"/>
  <c r="P24" i="7" s="1"/>
  <c r="K23" i="7"/>
  <c r="D23" i="7"/>
  <c r="R23" i="7" s="1"/>
  <c r="X22" i="7"/>
  <c r="K22" i="7"/>
  <c r="V22" i="7" s="1"/>
  <c r="D22" i="7"/>
  <c r="Q22" i="7" s="1"/>
  <c r="X21" i="7"/>
  <c r="K21" i="7"/>
  <c r="D21" i="7"/>
  <c r="P21" i="7" s="1"/>
  <c r="X20" i="7"/>
  <c r="K20" i="7"/>
  <c r="D20" i="7"/>
  <c r="P20" i="7" s="1"/>
  <c r="X19" i="7"/>
  <c r="K19" i="7"/>
  <c r="D19" i="7"/>
  <c r="R19" i="7" s="1"/>
  <c r="W17" i="7"/>
  <c r="U17" i="7"/>
  <c r="J17" i="7"/>
  <c r="I17" i="7"/>
  <c r="H17" i="7"/>
  <c r="G17" i="7"/>
  <c r="F17" i="7"/>
  <c r="E17" i="7"/>
  <c r="X16" i="7"/>
  <c r="X13" i="7" s="1"/>
  <c r="K16" i="7"/>
  <c r="V16" i="7" s="1"/>
  <c r="D16" i="7"/>
  <c r="Q16" i="7" s="1"/>
  <c r="K15" i="7"/>
  <c r="D15" i="7"/>
  <c r="R15" i="7" s="1"/>
  <c r="K14" i="7"/>
  <c r="D14" i="7"/>
  <c r="P14" i="7" s="1"/>
  <c r="W13" i="7"/>
  <c r="U13" i="7"/>
  <c r="J13" i="7"/>
  <c r="I13" i="7"/>
  <c r="H13" i="7"/>
  <c r="G13" i="7"/>
  <c r="F13" i="7"/>
  <c r="E13" i="7"/>
  <c r="V12" i="7"/>
  <c r="V11" i="7" s="1"/>
  <c r="D12" i="7"/>
  <c r="R12" i="7" s="1"/>
  <c r="R11" i="7" s="1"/>
  <c r="Z11" i="7"/>
  <c r="Y11" i="7"/>
  <c r="X11" i="7"/>
  <c r="W11" i="7"/>
  <c r="U11" i="7"/>
  <c r="T11" i="7"/>
  <c r="K11" i="7"/>
  <c r="J11" i="7"/>
  <c r="I11" i="7"/>
  <c r="I57" i="7" s="1"/>
  <c r="H11" i="7"/>
  <c r="G11" i="7"/>
  <c r="F11" i="7"/>
  <c r="E11" i="7"/>
  <c r="E57" i="7" s="1"/>
  <c r="J17" i="5"/>
  <c r="D11" i="12" l="1"/>
  <c r="V54" i="12"/>
  <c r="K50" i="12"/>
  <c r="M15" i="12"/>
  <c r="S47" i="12"/>
  <c r="M31" i="12"/>
  <c r="Q31" i="12"/>
  <c r="Q22" i="11"/>
  <c r="D17" i="11"/>
  <c r="K17" i="11"/>
  <c r="Q36" i="11"/>
  <c r="L28" i="11"/>
  <c r="Q28" i="11"/>
  <c r="L46" i="11"/>
  <c r="L26" i="11"/>
  <c r="M26" i="11"/>
  <c r="O47" i="11"/>
  <c r="D11" i="10"/>
  <c r="P25" i="10"/>
  <c r="S47" i="10"/>
  <c r="L26" i="10"/>
  <c r="I59" i="10"/>
  <c r="E59" i="10"/>
  <c r="F59" i="10"/>
  <c r="J57" i="8"/>
  <c r="K13" i="7"/>
  <c r="P19" i="8"/>
  <c r="X17" i="11"/>
  <c r="X59" i="11" s="1"/>
  <c r="L36" i="11"/>
  <c r="X17" i="10"/>
  <c r="X59" i="10" s="1"/>
  <c r="Q19" i="12"/>
  <c r="M36" i="12"/>
  <c r="M34" i="10"/>
  <c r="Q57" i="10"/>
  <c r="M20" i="11"/>
  <c r="L44" i="11"/>
  <c r="Q36" i="12"/>
  <c r="L54" i="7"/>
  <c r="D13" i="10"/>
  <c r="P39" i="10"/>
  <c r="M44" i="11"/>
  <c r="K17" i="7"/>
  <c r="D50" i="10"/>
  <c r="J59" i="10"/>
  <c r="L19" i="10"/>
  <c r="Q26" i="10"/>
  <c r="Q46" i="7"/>
  <c r="L49" i="7"/>
  <c r="K13" i="8"/>
  <c r="M25" i="12"/>
  <c r="O47" i="9"/>
  <c r="Y47" i="9" s="1"/>
  <c r="Z47" i="9" s="1"/>
  <c r="M49" i="7"/>
  <c r="M26" i="9"/>
  <c r="L42" i="10"/>
  <c r="Q25" i="12"/>
  <c r="X17" i="7"/>
  <c r="Q31" i="8"/>
  <c r="M42" i="8"/>
  <c r="Q26" i="9"/>
  <c r="L53" i="8"/>
  <c r="M55" i="10"/>
  <c r="O47" i="7"/>
  <c r="S47" i="9"/>
  <c r="Q53" i="8"/>
  <c r="X17" i="9"/>
  <c r="L23" i="9"/>
  <c r="L46" i="12"/>
  <c r="O47" i="12"/>
  <c r="Y47" i="12" s="1"/>
  <c r="Z47" i="12" s="1"/>
  <c r="T47" i="12" s="1"/>
  <c r="F57" i="8"/>
  <c r="Q31" i="11"/>
  <c r="U57" i="7"/>
  <c r="M29" i="7"/>
  <c r="M46" i="7"/>
  <c r="W57" i="8"/>
  <c r="K17" i="8"/>
  <c r="P25" i="8"/>
  <c r="Q26" i="8"/>
  <c r="Q39" i="8"/>
  <c r="L42" i="8"/>
  <c r="K48" i="8"/>
  <c r="Q55" i="8"/>
  <c r="G57" i="9"/>
  <c r="K13" i="9"/>
  <c r="K17" i="9"/>
  <c r="Q34" i="9"/>
  <c r="Q53" i="9"/>
  <c r="M16" i="10"/>
  <c r="L25" i="10"/>
  <c r="Q28" i="10"/>
  <c r="L34" i="10"/>
  <c r="Q35" i="10"/>
  <c r="L39" i="10"/>
  <c r="P44" i="10"/>
  <c r="L55" i="10"/>
  <c r="L57" i="10"/>
  <c r="U59" i="11"/>
  <c r="L20" i="11"/>
  <c r="Q26" i="11"/>
  <c r="M31" i="11"/>
  <c r="Q34" i="11"/>
  <c r="M39" i="11"/>
  <c r="Q44" i="11"/>
  <c r="M19" i="12"/>
  <c r="P22" i="12"/>
  <c r="P27" i="12"/>
  <c r="Q39" i="11"/>
  <c r="H59" i="12"/>
  <c r="D11" i="7"/>
  <c r="D13" i="7"/>
  <c r="D17" i="7"/>
  <c r="K48" i="7"/>
  <c r="M54" i="7"/>
  <c r="L25" i="8"/>
  <c r="Q44" i="8"/>
  <c r="V53" i="8"/>
  <c r="F57" i="9"/>
  <c r="J57" i="9"/>
  <c r="K13" i="10"/>
  <c r="M35" i="10"/>
  <c r="L36" i="10"/>
  <c r="L44" i="10"/>
  <c r="D11" i="11"/>
  <c r="P12" i="11"/>
  <c r="P11" i="11" s="1"/>
  <c r="K13" i="11"/>
  <c r="L31" i="11"/>
  <c r="L39" i="11"/>
  <c r="Q57" i="11"/>
  <c r="Q12" i="12"/>
  <c r="Q11" i="12" s="1"/>
  <c r="L22" i="12"/>
  <c r="L27" i="12"/>
  <c r="S47" i="11"/>
  <c r="X17" i="8"/>
  <c r="Q42" i="8"/>
  <c r="U57" i="9"/>
  <c r="U59" i="10"/>
  <c r="D17" i="10"/>
  <c r="Q34" i="10"/>
  <c r="Q55" i="10"/>
  <c r="G59" i="11"/>
  <c r="L12" i="11"/>
  <c r="L11" i="11" s="1"/>
  <c r="Q20" i="11"/>
  <c r="Q46" i="11"/>
  <c r="M57" i="11"/>
  <c r="M12" i="12"/>
  <c r="M11" i="12" s="1"/>
  <c r="Q15" i="12"/>
  <c r="Q42" i="12"/>
  <c r="Q46" i="12"/>
  <c r="L56" i="12"/>
  <c r="Y47" i="11"/>
  <c r="Z47" i="11" s="1"/>
  <c r="T47" i="11" s="1"/>
  <c r="O47" i="10"/>
  <c r="T47" i="9"/>
  <c r="O47" i="8"/>
  <c r="S47" i="8"/>
  <c r="O56" i="5"/>
  <c r="Y47" i="7"/>
  <c r="Z47" i="7" s="1"/>
  <c r="T47" i="7" s="1"/>
  <c r="P36" i="8"/>
  <c r="P28" i="9"/>
  <c r="X57" i="7"/>
  <c r="I57" i="8"/>
  <c r="E57" i="9"/>
  <c r="P25" i="9"/>
  <c r="F57" i="7"/>
  <c r="J57" i="7"/>
  <c r="L16" i="7"/>
  <c r="P49" i="7"/>
  <c r="P48" i="7" s="1"/>
  <c r="P54" i="7"/>
  <c r="G57" i="8"/>
  <c r="X57" i="8"/>
  <c r="L12" i="8"/>
  <c r="L11" i="8" s="1"/>
  <c r="D13" i="8"/>
  <c r="M20" i="8"/>
  <c r="L23" i="8"/>
  <c r="L26" i="8"/>
  <c r="Q28" i="8"/>
  <c r="L31" i="8"/>
  <c r="P34" i="8"/>
  <c r="Q36" i="8"/>
  <c r="L39" i="8"/>
  <c r="L44" i="8"/>
  <c r="Q46" i="8"/>
  <c r="Q48" i="8"/>
  <c r="M53" i="8"/>
  <c r="L55" i="8"/>
  <c r="W57" i="9"/>
  <c r="M16" i="9"/>
  <c r="Q28" i="9"/>
  <c r="L31" i="9"/>
  <c r="L34" i="9"/>
  <c r="P36" i="9"/>
  <c r="L39" i="9"/>
  <c r="L44" i="9"/>
  <c r="L46" i="9"/>
  <c r="L53" i="9"/>
  <c r="Q55" i="9"/>
  <c r="M14" i="10"/>
  <c r="L15" i="10"/>
  <c r="Q16" i="10"/>
  <c r="P19" i="10"/>
  <c r="L20" i="10"/>
  <c r="M21" i="10"/>
  <c r="M26" i="10"/>
  <c r="L28" i="10"/>
  <c r="M29" i="10"/>
  <c r="P34" i="10"/>
  <c r="S34" i="10" s="1"/>
  <c r="P36" i="10"/>
  <c r="P42" i="10"/>
  <c r="P55" i="10"/>
  <c r="M57" i="10"/>
  <c r="H59" i="11"/>
  <c r="W59" i="11"/>
  <c r="V14" i="11"/>
  <c r="P15" i="11"/>
  <c r="P13" i="11" s="1"/>
  <c r="P20" i="11"/>
  <c r="P26" i="11"/>
  <c r="M28" i="11"/>
  <c r="P31" i="11"/>
  <c r="L34" i="11"/>
  <c r="M36" i="11"/>
  <c r="P39" i="11"/>
  <c r="Q42" i="11"/>
  <c r="P44" i="11"/>
  <c r="M46" i="11"/>
  <c r="Q55" i="11"/>
  <c r="P57" i="11"/>
  <c r="S57" i="11" s="1"/>
  <c r="E59" i="12"/>
  <c r="I59" i="12"/>
  <c r="W59" i="12"/>
  <c r="D13" i="12"/>
  <c r="X17" i="12"/>
  <c r="X59" i="12" s="1"/>
  <c r="Q23" i="12"/>
  <c r="L30" i="12"/>
  <c r="L33" i="12"/>
  <c r="L39" i="12"/>
  <c r="M44" i="12"/>
  <c r="L51" i="12"/>
  <c r="P55" i="9"/>
  <c r="P23" i="11"/>
  <c r="P42" i="11"/>
  <c r="P55" i="11"/>
  <c r="M23" i="12"/>
  <c r="Q33" i="12"/>
  <c r="Q39" i="12"/>
  <c r="P28" i="8"/>
  <c r="P46" i="8"/>
  <c r="P31" i="8"/>
  <c r="S31" i="8" s="1"/>
  <c r="M36" i="8"/>
  <c r="P44" i="8"/>
  <c r="S44" i="8" s="1"/>
  <c r="I57" i="9"/>
  <c r="M28" i="9"/>
  <c r="P34" i="9"/>
  <c r="P42" i="9"/>
  <c r="P44" i="9"/>
  <c r="D48" i="9"/>
  <c r="P53" i="9"/>
  <c r="M55" i="9"/>
  <c r="H59" i="10"/>
  <c r="K17" i="10"/>
  <c r="P20" i="10"/>
  <c r="S20" i="10" s="1"/>
  <c r="P23" i="10"/>
  <c r="Q24" i="10"/>
  <c r="P28" i="10"/>
  <c r="P31" i="10"/>
  <c r="P46" i="10"/>
  <c r="K50" i="10"/>
  <c r="Q50" i="10"/>
  <c r="F59" i="11"/>
  <c r="J59" i="11"/>
  <c r="P19" i="11"/>
  <c r="M23" i="11"/>
  <c r="P25" i="11"/>
  <c r="P34" i="11"/>
  <c r="M42" i="11"/>
  <c r="M55" i="11"/>
  <c r="G59" i="12"/>
  <c r="U59" i="12"/>
  <c r="P33" i="12"/>
  <c r="P39" i="12"/>
  <c r="P54" i="12"/>
  <c r="H57" i="7"/>
  <c r="E57" i="8"/>
  <c r="Q12" i="8"/>
  <c r="Q11" i="8" s="1"/>
  <c r="D17" i="8"/>
  <c r="P26" i="8"/>
  <c r="S26" i="8" s="1"/>
  <c r="M28" i="8"/>
  <c r="P39" i="8"/>
  <c r="M46" i="8"/>
  <c r="P55" i="8"/>
  <c r="D13" i="9"/>
  <c r="D17" i="9"/>
  <c r="G57" i="7"/>
  <c r="K57" i="7"/>
  <c r="W57" i="7"/>
  <c r="P16" i="7"/>
  <c r="D48" i="7"/>
  <c r="Q49" i="7"/>
  <c r="Q54" i="7"/>
  <c r="D11" i="8"/>
  <c r="H57" i="8"/>
  <c r="U57" i="8"/>
  <c r="M12" i="8"/>
  <c r="M11" i="8" s="1"/>
  <c r="Q20" i="8"/>
  <c r="P23" i="8"/>
  <c r="M26" i="8"/>
  <c r="L28" i="8"/>
  <c r="M31" i="8"/>
  <c r="Q34" i="8"/>
  <c r="L36" i="8"/>
  <c r="M39" i="8"/>
  <c r="P42" i="8"/>
  <c r="M44" i="8"/>
  <c r="L46" i="8"/>
  <c r="D48" i="8"/>
  <c r="P53" i="8"/>
  <c r="M55" i="8"/>
  <c r="H57" i="9"/>
  <c r="X57" i="9"/>
  <c r="L25" i="9"/>
  <c r="L28" i="9"/>
  <c r="P31" i="9"/>
  <c r="M34" i="9"/>
  <c r="P39" i="9"/>
  <c r="L42" i="9"/>
  <c r="M44" i="9"/>
  <c r="P46" i="9"/>
  <c r="K48" i="9"/>
  <c r="M53" i="9"/>
  <c r="L55" i="9"/>
  <c r="G59" i="10"/>
  <c r="W59" i="10"/>
  <c r="Q14" i="10"/>
  <c r="M20" i="10"/>
  <c r="Q21" i="10"/>
  <c r="L23" i="10"/>
  <c r="M24" i="10"/>
  <c r="P26" i="10"/>
  <c r="M28" i="10"/>
  <c r="Q29" i="10"/>
  <c r="L31" i="10"/>
  <c r="L46" i="10"/>
  <c r="P57" i="10"/>
  <c r="E59" i="11"/>
  <c r="I59" i="11"/>
  <c r="L19" i="11"/>
  <c r="L23" i="11"/>
  <c r="L25" i="11"/>
  <c r="P28" i="11"/>
  <c r="M34" i="11"/>
  <c r="P36" i="11"/>
  <c r="S36" i="11" s="1"/>
  <c r="L42" i="11"/>
  <c r="P46" i="11"/>
  <c r="L55" i="11"/>
  <c r="F59" i="12"/>
  <c r="P30" i="12"/>
  <c r="M33" i="12"/>
  <c r="M39" i="12"/>
  <c r="M42" i="12"/>
  <c r="Q44" i="12"/>
  <c r="P46" i="12"/>
  <c r="P51" i="12"/>
  <c r="L54" i="12"/>
  <c r="P56" i="12"/>
  <c r="N20" i="12"/>
  <c r="R20" i="12"/>
  <c r="N26" i="12"/>
  <c r="R26" i="12"/>
  <c r="N28" i="12"/>
  <c r="R28" i="12"/>
  <c r="N34" i="12"/>
  <c r="R34" i="12"/>
  <c r="N55" i="12"/>
  <c r="R55" i="12"/>
  <c r="N57" i="12"/>
  <c r="R57" i="12"/>
  <c r="L12" i="12"/>
  <c r="P12" i="12"/>
  <c r="K13" i="12"/>
  <c r="N14" i="12"/>
  <c r="R14" i="12"/>
  <c r="L15" i="12"/>
  <c r="P15" i="12"/>
  <c r="N16" i="12"/>
  <c r="R16" i="12"/>
  <c r="L19" i="12"/>
  <c r="P19" i="12"/>
  <c r="M20" i="12"/>
  <c r="Q20" i="12"/>
  <c r="V20" i="12"/>
  <c r="N21" i="12"/>
  <c r="R21" i="12"/>
  <c r="L23" i="12"/>
  <c r="P23" i="12"/>
  <c r="N24" i="12"/>
  <c r="R24" i="12"/>
  <c r="L25" i="12"/>
  <c r="P25" i="12"/>
  <c r="M26" i="12"/>
  <c r="Q26" i="12"/>
  <c r="V26" i="12"/>
  <c r="M28" i="12"/>
  <c r="Q28" i="12"/>
  <c r="V28" i="12"/>
  <c r="N29" i="12"/>
  <c r="R29" i="12"/>
  <c r="L31" i="12"/>
  <c r="P31" i="12"/>
  <c r="M34" i="12"/>
  <c r="Q34" i="12"/>
  <c r="V34" i="12"/>
  <c r="N35" i="12"/>
  <c r="R35" i="12"/>
  <c r="L36" i="12"/>
  <c r="P36" i="12"/>
  <c r="N38" i="12"/>
  <c r="R38" i="12"/>
  <c r="L42" i="12"/>
  <c r="P42" i="12"/>
  <c r="N43" i="12"/>
  <c r="R43" i="12"/>
  <c r="L44" i="12"/>
  <c r="P44" i="12"/>
  <c r="N45" i="12"/>
  <c r="R45" i="12"/>
  <c r="D50" i="12"/>
  <c r="M55" i="12"/>
  <c r="Q55" i="12"/>
  <c r="V55" i="12"/>
  <c r="M57" i="12"/>
  <c r="Q57" i="12"/>
  <c r="V57" i="12"/>
  <c r="M14" i="12"/>
  <c r="Q14" i="12"/>
  <c r="V14" i="12"/>
  <c r="M16" i="12"/>
  <c r="Q16" i="12"/>
  <c r="V16" i="12"/>
  <c r="D17" i="12"/>
  <c r="L20" i="12"/>
  <c r="M21" i="12"/>
  <c r="Q21" i="12"/>
  <c r="S21" i="12" s="1"/>
  <c r="V21" i="12"/>
  <c r="N22" i="12"/>
  <c r="R22" i="12"/>
  <c r="M24" i="12"/>
  <c r="Q24" i="12"/>
  <c r="V24" i="12"/>
  <c r="L26" i="12"/>
  <c r="N27" i="12"/>
  <c r="R27" i="12"/>
  <c r="L28" i="12"/>
  <c r="M29" i="12"/>
  <c r="Q29" i="12"/>
  <c r="V29" i="12"/>
  <c r="N30" i="12"/>
  <c r="R30" i="12"/>
  <c r="N33" i="12"/>
  <c r="L34" i="12"/>
  <c r="M35" i="12"/>
  <c r="Q35" i="12"/>
  <c r="V35" i="12"/>
  <c r="M38" i="12"/>
  <c r="Q38" i="12"/>
  <c r="V38" i="12"/>
  <c r="M43" i="12"/>
  <c r="Q43" i="12"/>
  <c r="V43" i="12"/>
  <c r="M45" i="12"/>
  <c r="Q45" i="12"/>
  <c r="V45" i="12"/>
  <c r="N51" i="12"/>
  <c r="R51" i="12"/>
  <c r="N54" i="12"/>
  <c r="R54" i="12"/>
  <c r="L55" i="12"/>
  <c r="N56" i="12"/>
  <c r="R56" i="12"/>
  <c r="L57" i="12"/>
  <c r="N12" i="12"/>
  <c r="N11" i="12" s="1"/>
  <c r="L14" i="12"/>
  <c r="N15" i="12"/>
  <c r="L16" i="12"/>
  <c r="K17" i="12"/>
  <c r="N19" i="12"/>
  <c r="L21" i="12"/>
  <c r="M22" i="12"/>
  <c r="N23" i="12"/>
  <c r="L24" i="12"/>
  <c r="N25" i="12"/>
  <c r="M27" i="12"/>
  <c r="L29" i="12"/>
  <c r="M30" i="12"/>
  <c r="N31" i="12"/>
  <c r="L35" i="12"/>
  <c r="N36" i="12"/>
  <c r="L38" i="12"/>
  <c r="N39" i="12"/>
  <c r="N42" i="12"/>
  <c r="L43" i="12"/>
  <c r="N44" i="12"/>
  <c r="L45" i="12"/>
  <c r="N46" i="12"/>
  <c r="M51" i="12"/>
  <c r="M54" i="12"/>
  <c r="M56" i="12"/>
  <c r="V13" i="11"/>
  <c r="M12" i="11"/>
  <c r="M11" i="11" s="1"/>
  <c r="Q12" i="11"/>
  <c r="Q11" i="11" s="1"/>
  <c r="D13" i="11"/>
  <c r="M15" i="11"/>
  <c r="Q15" i="11"/>
  <c r="S15" i="11" s="1"/>
  <c r="M19" i="11"/>
  <c r="Q19" i="11"/>
  <c r="V19" i="11"/>
  <c r="N20" i="11"/>
  <c r="L22" i="11"/>
  <c r="P22" i="11"/>
  <c r="Q23" i="11"/>
  <c r="M25" i="11"/>
  <c r="Q25" i="11"/>
  <c r="N26" i="11"/>
  <c r="L27" i="11"/>
  <c r="P27" i="11"/>
  <c r="N28" i="11"/>
  <c r="L30" i="11"/>
  <c r="P30" i="11"/>
  <c r="L33" i="11"/>
  <c r="P33" i="11"/>
  <c r="N34" i="11"/>
  <c r="V42" i="11"/>
  <c r="V44" i="11"/>
  <c r="V46" i="11"/>
  <c r="L51" i="11"/>
  <c r="P51" i="11"/>
  <c r="L54" i="11"/>
  <c r="P54" i="11"/>
  <c r="N55" i="11"/>
  <c r="L56" i="11"/>
  <c r="P56" i="11"/>
  <c r="N57" i="11"/>
  <c r="O57" i="11" s="1"/>
  <c r="N14" i="11"/>
  <c r="R14" i="11"/>
  <c r="N16" i="11"/>
  <c r="R16" i="11"/>
  <c r="N21" i="11"/>
  <c r="R21" i="11"/>
  <c r="R17" i="11" s="1"/>
  <c r="N24" i="11"/>
  <c r="R24" i="11"/>
  <c r="N29" i="11"/>
  <c r="R29" i="11"/>
  <c r="N35" i="11"/>
  <c r="R35" i="11"/>
  <c r="N38" i="11"/>
  <c r="R38" i="11"/>
  <c r="N43" i="11"/>
  <c r="R43" i="11"/>
  <c r="N45" i="11"/>
  <c r="R45" i="11"/>
  <c r="M14" i="11"/>
  <c r="Q14" i="11"/>
  <c r="M16" i="11"/>
  <c r="Q16" i="11"/>
  <c r="M21" i="11"/>
  <c r="Q21" i="11"/>
  <c r="N22" i="11"/>
  <c r="R22" i="11"/>
  <c r="M24" i="11"/>
  <c r="Q24" i="11"/>
  <c r="N27" i="11"/>
  <c r="R27" i="11"/>
  <c r="M29" i="11"/>
  <c r="Q29" i="11"/>
  <c r="N30" i="11"/>
  <c r="R30" i="11"/>
  <c r="N33" i="11"/>
  <c r="R33" i="11"/>
  <c r="M35" i="11"/>
  <c r="Q35" i="11"/>
  <c r="M38" i="11"/>
  <c r="Q38" i="11"/>
  <c r="M43" i="11"/>
  <c r="Q43" i="11"/>
  <c r="M45" i="11"/>
  <c r="Q45" i="11"/>
  <c r="N51" i="11"/>
  <c r="R51" i="11"/>
  <c r="N54" i="11"/>
  <c r="R54" i="11"/>
  <c r="N56" i="11"/>
  <c r="R56" i="11"/>
  <c r="N12" i="11"/>
  <c r="N11" i="11" s="1"/>
  <c r="L14" i="11"/>
  <c r="N15" i="11"/>
  <c r="L16" i="11"/>
  <c r="N19" i="11"/>
  <c r="L21" i="11"/>
  <c r="M22" i="11"/>
  <c r="N23" i="11"/>
  <c r="L24" i="11"/>
  <c r="N25" i="11"/>
  <c r="M27" i="11"/>
  <c r="L29" i="11"/>
  <c r="M30" i="11"/>
  <c r="N31" i="11"/>
  <c r="M33" i="11"/>
  <c r="L35" i="11"/>
  <c r="N36" i="11"/>
  <c r="O36" i="11" s="1"/>
  <c r="L38" i="11"/>
  <c r="N39" i="11"/>
  <c r="N42" i="11"/>
  <c r="L43" i="11"/>
  <c r="N44" i="11"/>
  <c r="L45" i="11"/>
  <c r="N46" i="11"/>
  <c r="M51" i="11"/>
  <c r="M54" i="11"/>
  <c r="M56" i="11"/>
  <c r="V50" i="10"/>
  <c r="S57" i="10"/>
  <c r="S55" i="10"/>
  <c r="M12" i="10"/>
  <c r="M11" i="10" s="1"/>
  <c r="Q12" i="10"/>
  <c r="Q11" i="10" s="1"/>
  <c r="M15" i="10"/>
  <c r="Q15" i="10"/>
  <c r="V15" i="10"/>
  <c r="M19" i="10"/>
  <c r="Q19" i="10"/>
  <c r="V19" i="10"/>
  <c r="N20" i="10"/>
  <c r="L22" i="10"/>
  <c r="P22" i="10"/>
  <c r="M23" i="10"/>
  <c r="Q23" i="10"/>
  <c r="V23" i="10"/>
  <c r="M25" i="10"/>
  <c r="Q25" i="10"/>
  <c r="V25" i="10"/>
  <c r="N26" i="10"/>
  <c r="L27" i="10"/>
  <c r="P27" i="10"/>
  <c r="N28" i="10"/>
  <c r="L30" i="10"/>
  <c r="P30" i="10"/>
  <c r="M31" i="10"/>
  <c r="Q31" i="10"/>
  <c r="S31" i="10" s="1"/>
  <c r="V31" i="10"/>
  <c r="L33" i="10"/>
  <c r="P33" i="10"/>
  <c r="N34" i="10"/>
  <c r="M36" i="10"/>
  <c r="Q36" i="10"/>
  <c r="V36" i="10"/>
  <c r="M39" i="10"/>
  <c r="Q39" i="10"/>
  <c r="S39" i="10" s="1"/>
  <c r="M42" i="10"/>
  <c r="Q42" i="10"/>
  <c r="M44" i="10"/>
  <c r="Q44" i="10"/>
  <c r="S44" i="10" s="1"/>
  <c r="M46" i="10"/>
  <c r="Q46" i="10"/>
  <c r="L51" i="10"/>
  <c r="P51" i="10"/>
  <c r="L54" i="10"/>
  <c r="P54" i="10"/>
  <c r="N55" i="10"/>
  <c r="L56" i="10"/>
  <c r="P56" i="10"/>
  <c r="N57" i="10"/>
  <c r="L12" i="10"/>
  <c r="P12" i="10"/>
  <c r="N14" i="10"/>
  <c r="R14" i="10"/>
  <c r="P15" i="10"/>
  <c r="S15" i="10" s="1"/>
  <c r="N16" i="10"/>
  <c r="R16" i="10"/>
  <c r="N21" i="10"/>
  <c r="R21" i="10"/>
  <c r="S21" i="10" s="1"/>
  <c r="N24" i="10"/>
  <c r="R24" i="10"/>
  <c r="S24" i="10" s="1"/>
  <c r="N29" i="10"/>
  <c r="R29" i="10"/>
  <c r="N35" i="10"/>
  <c r="R35" i="10"/>
  <c r="N38" i="10"/>
  <c r="R38" i="10"/>
  <c r="N43" i="10"/>
  <c r="R43" i="10"/>
  <c r="N45" i="10"/>
  <c r="R45" i="10"/>
  <c r="V14" i="10"/>
  <c r="N22" i="10"/>
  <c r="R22" i="10"/>
  <c r="N27" i="10"/>
  <c r="R27" i="10"/>
  <c r="N30" i="10"/>
  <c r="R30" i="10"/>
  <c r="N33" i="10"/>
  <c r="R33" i="10"/>
  <c r="M38" i="10"/>
  <c r="Q38" i="10"/>
  <c r="M43" i="10"/>
  <c r="Q43" i="10"/>
  <c r="M45" i="10"/>
  <c r="Q45" i="10"/>
  <c r="N51" i="10"/>
  <c r="R51" i="10"/>
  <c r="N54" i="10"/>
  <c r="R54" i="10"/>
  <c r="N56" i="10"/>
  <c r="R56" i="10"/>
  <c r="N12" i="10"/>
  <c r="N11" i="10" s="1"/>
  <c r="L14" i="10"/>
  <c r="N15" i="10"/>
  <c r="L16" i="10"/>
  <c r="N19" i="10"/>
  <c r="L21" i="10"/>
  <c r="M22" i="10"/>
  <c r="N23" i="10"/>
  <c r="L24" i="10"/>
  <c r="N25" i="10"/>
  <c r="M27" i="10"/>
  <c r="L29" i="10"/>
  <c r="M30" i="10"/>
  <c r="N31" i="10"/>
  <c r="M33" i="10"/>
  <c r="L35" i="10"/>
  <c r="N36" i="10"/>
  <c r="L38" i="10"/>
  <c r="N39" i="10"/>
  <c r="N42" i="10"/>
  <c r="L43" i="10"/>
  <c r="N44" i="10"/>
  <c r="L45" i="10"/>
  <c r="N46" i="10"/>
  <c r="M51" i="10"/>
  <c r="M54" i="10"/>
  <c r="M56" i="10"/>
  <c r="S55" i="9"/>
  <c r="V48" i="9"/>
  <c r="S34" i="9"/>
  <c r="M12" i="9"/>
  <c r="M11" i="9" s="1"/>
  <c r="Q12" i="9"/>
  <c r="Q11" i="9" s="1"/>
  <c r="M15" i="9"/>
  <c r="Q15" i="9"/>
  <c r="V15" i="9"/>
  <c r="M19" i="9"/>
  <c r="Q19" i="9"/>
  <c r="V19" i="9"/>
  <c r="N20" i="9"/>
  <c r="R20" i="9"/>
  <c r="L22" i="9"/>
  <c r="P22" i="9"/>
  <c r="M23" i="9"/>
  <c r="Q23" i="9"/>
  <c r="S23" i="9" s="1"/>
  <c r="M25" i="9"/>
  <c r="Q25" i="9"/>
  <c r="N26" i="9"/>
  <c r="R26" i="9"/>
  <c r="L27" i="9"/>
  <c r="P27" i="9"/>
  <c r="N28" i="9"/>
  <c r="O28" i="9" s="1"/>
  <c r="L30" i="9"/>
  <c r="P30" i="9"/>
  <c r="M31" i="9"/>
  <c r="Q31" i="9"/>
  <c r="L33" i="9"/>
  <c r="P33" i="9"/>
  <c r="N34" i="9"/>
  <c r="M36" i="9"/>
  <c r="Q36" i="9"/>
  <c r="M39" i="9"/>
  <c r="Q39" i="9"/>
  <c r="S39" i="9" s="1"/>
  <c r="M42" i="9"/>
  <c r="Q42" i="9"/>
  <c r="V42" i="9"/>
  <c r="Q44" i="9"/>
  <c r="V44" i="9"/>
  <c r="M46" i="9"/>
  <c r="Q46" i="9"/>
  <c r="V46" i="9"/>
  <c r="L49" i="9"/>
  <c r="P49" i="9"/>
  <c r="L52" i="9"/>
  <c r="P52" i="9"/>
  <c r="N53" i="9"/>
  <c r="L54" i="9"/>
  <c r="P54" i="9"/>
  <c r="N55" i="9"/>
  <c r="L12" i="9"/>
  <c r="P12" i="9"/>
  <c r="N14" i="9"/>
  <c r="R14" i="9"/>
  <c r="L15" i="9"/>
  <c r="P15" i="9"/>
  <c r="P13" i="9" s="1"/>
  <c r="N16" i="9"/>
  <c r="R16" i="9"/>
  <c r="L19" i="9"/>
  <c r="P19" i="9"/>
  <c r="M20" i="9"/>
  <c r="Q20" i="9"/>
  <c r="V20" i="9"/>
  <c r="N21" i="9"/>
  <c r="R21" i="9"/>
  <c r="N24" i="9"/>
  <c r="R24" i="9"/>
  <c r="N29" i="9"/>
  <c r="R29" i="9"/>
  <c r="N35" i="9"/>
  <c r="R35" i="9"/>
  <c r="N38" i="9"/>
  <c r="R38" i="9"/>
  <c r="N43" i="9"/>
  <c r="R43" i="9"/>
  <c r="N45" i="9"/>
  <c r="R45" i="9"/>
  <c r="M14" i="9"/>
  <c r="M13" i="9" s="1"/>
  <c r="Q14" i="9"/>
  <c r="V14" i="9"/>
  <c r="Q16" i="9"/>
  <c r="V16" i="9"/>
  <c r="L20" i="9"/>
  <c r="M21" i="9"/>
  <c r="Q21" i="9"/>
  <c r="S21" i="9" s="1"/>
  <c r="V21" i="9"/>
  <c r="N22" i="9"/>
  <c r="R22" i="9"/>
  <c r="M24" i="9"/>
  <c r="Q24" i="9"/>
  <c r="V24" i="9"/>
  <c r="L26" i="9"/>
  <c r="N27" i="9"/>
  <c r="R27" i="9"/>
  <c r="M29" i="9"/>
  <c r="Q29" i="9"/>
  <c r="N30" i="9"/>
  <c r="R30" i="9"/>
  <c r="N33" i="9"/>
  <c r="R33" i="9"/>
  <c r="M35" i="9"/>
  <c r="Q35" i="9"/>
  <c r="M38" i="9"/>
  <c r="Q38" i="9"/>
  <c r="M43" i="9"/>
  <c r="Q43" i="9"/>
  <c r="M45" i="9"/>
  <c r="Q45" i="9"/>
  <c r="N49" i="9"/>
  <c r="R49" i="9"/>
  <c r="N52" i="9"/>
  <c r="R52" i="9"/>
  <c r="N54" i="9"/>
  <c r="R54" i="9"/>
  <c r="N12" i="9"/>
  <c r="N11" i="9" s="1"/>
  <c r="L14" i="9"/>
  <c r="N15" i="9"/>
  <c r="N19" i="9"/>
  <c r="L21" i="9"/>
  <c r="M22" i="9"/>
  <c r="N23" i="9"/>
  <c r="L24" i="9"/>
  <c r="N25" i="9"/>
  <c r="M27" i="9"/>
  <c r="L29" i="9"/>
  <c r="M30" i="9"/>
  <c r="N31" i="9"/>
  <c r="M33" i="9"/>
  <c r="L35" i="9"/>
  <c r="N36" i="9"/>
  <c r="L38" i="9"/>
  <c r="N39" i="9"/>
  <c r="N42" i="9"/>
  <c r="L43" i="9"/>
  <c r="N44" i="9"/>
  <c r="L45" i="9"/>
  <c r="N46" i="9"/>
  <c r="M49" i="9"/>
  <c r="M52" i="9"/>
  <c r="M54" i="9"/>
  <c r="S46" i="8"/>
  <c r="S55" i="8"/>
  <c r="V48" i="8"/>
  <c r="S53" i="8"/>
  <c r="M15" i="8"/>
  <c r="Q15" i="8"/>
  <c r="V15" i="8"/>
  <c r="M19" i="8"/>
  <c r="Q19" i="8"/>
  <c r="S19" i="8" s="1"/>
  <c r="V19" i="8"/>
  <c r="N20" i="8"/>
  <c r="R20" i="8"/>
  <c r="S20" i="8" s="1"/>
  <c r="L22" i="8"/>
  <c r="P22" i="8"/>
  <c r="M23" i="8"/>
  <c r="Q23" i="8"/>
  <c r="S23" i="8" s="1"/>
  <c r="M25" i="8"/>
  <c r="Q25" i="8"/>
  <c r="S25" i="8" s="1"/>
  <c r="N26" i="8"/>
  <c r="L27" i="8"/>
  <c r="P27" i="8"/>
  <c r="N28" i="8"/>
  <c r="L30" i="8"/>
  <c r="P30" i="8"/>
  <c r="L33" i="8"/>
  <c r="P33" i="8"/>
  <c r="N34" i="8"/>
  <c r="O34" i="8" s="1"/>
  <c r="V42" i="8"/>
  <c r="V44" i="8"/>
  <c r="V46" i="8"/>
  <c r="L49" i="8"/>
  <c r="P49" i="8"/>
  <c r="L52" i="8"/>
  <c r="P52" i="8"/>
  <c r="N53" i="8"/>
  <c r="O53" i="8" s="1"/>
  <c r="L54" i="8"/>
  <c r="P54" i="8"/>
  <c r="N55" i="8"/>
  <c r="P12" i="8"/>
  <c r="N14" i="8"/>
  <c r="R14" i="8"/>
  <c r="L15" i="8"/>
  <c r="P15" i="8"/>
  <c r="N16" i="8"/>
  <c r="R16" i="8"/>
  <c r="N21" i="8"/>
  <c r="R21" i="8"/>
  <c r="N24" i="8"/>
  <c r="R24" i="8"/>
  <c r="N29" i="8"/>
  <c r="R29" i="8"/>
  <c r="N35" i="8"/>
  <c r="R35" i="8"/>
  <c r="N38" i="8"/>
  <c r="R38" i="8"/>
  <c r="N43" i="8"/>
  <c r="R43" i="8"/>
  <c r="N45" i="8"/>
  <c r="R45" i="8"/>
  <c r="M14" i="8"/>
  <c r="Q14" i="8"/>
  <c r="V14" i="8"/>
  <c r="M16" i="8"/>
  <c r="Q16" i="8"/>
  <c r="V16" i="8"/>
  <c r="L20" i="8"/>
  <c r="M21" i="8"/>
  <c r="Q21" i="8"/>
  <c r="V21" i="8"/>
  <c r="N22" i="8"/>
  <c r="R22" i="8"/>
  <c r="M24" i="8"/>
  <c r="Q24" i="8"/>
  <c r="S24" i="8" s="1"/>
  <c r="N27" i="8"/>
  <c r="R27" i="8"/>
  <c r="M29" i="8"/>
  <c r="Q29" i="8"/>
  <c r="N30" i="8"/>
  <c r="R30" i="8"/>
  <c r="N33" i="8"/>
  <c r="R33" i="8"/>
  <c r="M35" i="8"/>
  <c r="Q35" i="8"/>
  <c r="M38" i="8"/>
  <c r="Q38" i="8"/>
  <c r="M43" i="8"/>
  <c r="Q43" i="8"/>
  <c r="M45" i="8"/>
  <c r="Q45" i="8"/>
  <c r="N49" i="8"/>
  <c r="R49" i="8"/>
  <c r="N52" i="8"/>
  <c r="R52" i="8"/>
  <c r="N54" i="8"/>
  <c r="R54" i="8"/>
  <c r="N12" i="8"/>
  <c r="N11" i="8" s="1"/>
  <c r="L14" i="8"/>
  <c r="N15" i="8"/>
  <c r="L16" i="8"/>
  <c r="N19" i="8"/>
  <c r="L21" i="8"/>
  <c r="M22" i="8"/>
  <c r="N23" i="8"/>
  <c r="L24" i="8"/>
  <c r="N25" i="8"/>
  <c r="M27" i="8"/>
  <c r="L29" i="8"/>
  <c r="M30" i="8"/>
  <c r="N31" i="8"/>
  <c r="M33" i="8"/>
  <c r="L35" i="8"/>
  <c r="N36" i="8"/>
  <c r="L38" i="8"/>
  <c r="N39" i="8"/>
  <c r="O39" i="8" s="1"/>
  <c r="Y39" i="8" s="1"/>
  <c r="Z39" i="8" s="1"/>
  <c r="N42" i="8"/>
  <c r="O42" i="8" s="1"/>
  <c r="L43" i="8"/>
  <c r="N44" i="8"/>
  <c r="L45" i="8"/>
  <c r="N46" i="8"/>
  <c r="M49" i="8"/>
  <c r="M52" i="8"/>
  <c r="M54" i="8"/>
  <c r="O49" i="7"/>
  <c r="M12" i="7"/>
  <c r="M11" i="7" s="1"/>
  <c r="Q12" i="7"/>
  <c r="Q11" i="7" s="1"/>
  <c r="M15" i="7"/>
  <c r="Q15" i="7"/>
  <c r="V15" i="7"/>
  <c r="M19" i="7"/>
  <c r="Q19" i="7"/>
  <c r="V19" i="7"/>
  <c r="N20" i="7"/>
  <c r="R20" i="7"/>
  <c r="L22" i="7"/>
  <c r="P22" i="7"/>
  <c r="M23" i="7"/>
  <c r="Q23" i="7"/>
  <c r="V23" i="7"/>
  <c r="M25" i="7"/>
  <c r="Q25" i="7"/>
  <c r="N26" i="7"/>
  <c r="R26" i="7"/>
  <c r="L27" i="7"/>
  <c r="P27" i="7"/>
  <c r="N28" i="7"/>
  <c r="R28" i="7"/>
  <c r="L30" i="7"/>
  <c r="P30" i="7"/>
  <c r="M31" i="7"/>
  <c r="Q31" i="7"/>
  <c r="V31" i="7"/>
  <c r="L33" i="7"/>
  <c r="P33" i="7"/>
  <c r="N34" i="7"/>
  <c r="R34" i="7"/>
  <c r="M36" i="7"/>
  <c r="Q36" i="7"/>
  <c r="V36" i="7"/>
  <c r="M39" i="7"/>
  <c r="Q39" i="7"/>
  <c r="V39" i="7"/>
  <c r="M42" i="7"/>
  <c r="Q42" i="7"/>
  <c r="V42" i="7"/>
  <c r="M44" i="7"/>
  <c r="Q44" i="7"/>
  <c r="V44" i="7"/>
  <c r="L52" i="7"/>
  <c r="P52" i="7"/>
  <c r="N53" i="7"/>
  <c r="R53" i="7"/>
  <c r="N55" i="7"/>
  <c r="R55" i="7"/>
  <c r="L12" i="7"/>
  <c r="P12" i="7"/>
  <c r="N14" i="7"/>
  <c r="R14" i="7"/>
  <c r="L15" i="7"/>
  <c r="P15" i="7"/>
  <c r="N16" i="7"/>
  <c r="R16" i="7"/>
  <c r="L19" i="7"/>
  <c r="P19" i="7"/>
  <c r="M20" i="7"/>
  <c r="Q20" i="7"/>
  <c r="V20" i="7"/>
  <c r="N21" i="7"/>
  <c r="R21" i="7"/>
  <c r="L23" i="7"/>
  <c r="P23" i="7"/>
  <c r="N24" i="7"/>
  <c r="R24" i="7"/>
  <c r="L25" i="7"/>
  <c r="P25" i="7"/>
  <c r="M26" i="7"/>
  <c r="Q26" i="7"/>
  <c r="V26" i="7"/>
  <c r="M28" i="7"/>
  <c r="Q28" i="7"/>
  <c r="V28" i="7"/>
  <c r="N29" i="7"/>
  <c r="R29" i="7"/>
  <c r="L31" i="7"/>
  <c r="P31" i="7"/>
  <c r="M34" i="7"/>
  <c r="Q34" i="7"/>
  <c r="V34" i="7"/>
  <c r="N35" i="7"/>
  <c r="R35" i="7"/>
  <c r="L36" i="7"/>
  <c r="P36" i="7"/>
  <c r="N38" i="7"/>
  <c r="R38" i="7"/>
  <c r="L39" i="7"/>
  <c r="P39" i="7"/>
  <c r="L42" i="7"/>
  <c r="P42" i="7"/>
  <c r="N43" i="7"/>
  <c r="R43" i="7"/>
  <c r="L44" i="7"/>
  <c r="P44" i="7"/>
  <c r="N45" i="7"/>
  <c r="R45" i="7"/>
  <c r="L46" i="7"/>
  <c r="P46" i="7"/>
  <c r="S46" i="7" s="1"/>
  <c r="M53" i="7"/>
  <c r="Q53" i="7"/>
  <c r="V53" i="7"/>
  <c r="M55" i="7"/>
  <c r="Q55" i="7"/>
  <c r="V55" i="7"/>
  <c r="M14" i="7"/>
  <c r="Q14" i="7"/>
  <c r="Q13" i="7" s="1"/>
  <c r="V14" i="7"/>
  <c r="M16" i="7"/>
  <c r="L20" i="7"/>
  <c r="M21" i="7"/>
  <c r="Q21" i="7"/>
  <c r="S21" i="7" s="1"/>
  <c r="V21" i="7"/>
  <c r="N22" i="7"/>
  <c r="R22" i="7"/>
  <c r="M24" i="7"/>
  <c r="Q24" i="7"/>
  <c r="S24" i="7" s="1"/>
  <c r="V24" i="7"/>
  <c r="L26" i="7"/>
  <c r="N27" i="7"/>
  <c r="R27" i="7"/>
  <c r="L28" i="7"/>
  <c r="Q29" i="7"/>
  <c r="S29" i="7" s="1"/>
  <c r="V29" i="7"/>
  <c r="N30" i="7"/>
  <c r="R30" i="7"/>
  <c r="N33" i="7"/>
  <c r="R33" i="7"/>
  <c r="L34" i="7"/>
  <c r="M35" i="7"/>
  <c r="Q35" i="7"/>
  <c r="S35" i="7" s="1"/>
  <c r="V35" i="7"/>
  <c r="M38" i="7"/>
  <c r="Q38" i="7"/>
  <c r="S38" i="7" s="1"/>
  <c r="V38" i="7"/>
  <c r="Q43" i="7"/>
  <c r="V43" i="7"/>
  <c r="M45" i="7"/>
  <c r="Q45" i="7"/>
  <c r="V45" i="7"/>
  <c r="N49" i="7"/>
  <c r="N52" i="7"/>
  <c r="R52" i="7"/>
  <c r="L53" i="7"/>
  <c r="N54" i="7"/>
  <c r="O54" i="7" s="1"/>
  <c r="L55" i="7"/>
  <c r="N12" i="7"/>
  <c r="N11" i="7" s="1"/>
  <c r="L14" i="7"/>
  <c r="N15" i="7"/>
  <c r="N19" i="7"/>
  <c r="L21" i="7"/>
  <c r="M22" i="7"/>
  <c r="N23" i="7"/>
  <c r="L24" i="7"/>
  <c r="N25" i="7"/>
  <c r="M27" i="7"/>
  <c r="L29" i="7"/>
  <c r="M30" i="7"/>
  <c r="N31" i="7"/>
  <c r="M33" i="7"/>
  <c r="L35" i="7"/>
  <c r="N36" i="7"/>
  <c r="L38" i="7"/>
  <c r="N39" i="7"/>
  <c r="N42" i="7"/>
  <c r="L43" i="7"/>
  <c r="N44" i="7"/>
  <c r="L45" i="7"/>
  <c r="N46" i="7"/>
  <c r="M52" i="7"/>
  <c r="E13" i="6"/>
  <c r="F13" i="6"/>
  <c r="G13" i="6"/>
  <c r="H13" i="6"/>
  <c r="I13" i="6"/>
  <c r="J13" i="6"/>
  <c r="U13" i="6"/>
  <c r="W13" i="6"/>
  <c r="X16" i="6"/>
  <c r="X13" i="6" s="1"/>
  <c r="K16" i="6"/>
  <c r="V16" i="6" s="1"/>
  <c r="D16" i="6"/>
  <c r="Q16" i="6" s="1"/>
  <c r="D15" i="6"/>
  <c r="P15" i="6" s="1"/>
  <c r="I17" i="6"/>
  <c r="K55" i="6"/>
  <c r="V55" i="6" s="1"/>
  <c r="D55" i="6"/>
  <c r="R55" i="6" s="1"/>
  <c r="K54" i="6"/>
  <c r="V54" i="6" s="1"/>
  <c r="D54" i="6"/>
  <c r="Q54" i="6" s="1"/>
  <c r="K53" i="6"/>
  <c r="V53" i="6" s="1"/>
  <c r="D53" i="6"/>
  <c r="R53" i="6" s="1"/>
  <c r="K52" i="6"/>
  <c r="V52" i="6" s="1"/>
  <c r="D52" i="6"/>
  <c r="Q52" i="6" s="1"/>
  <c r="Y51" i="6"/>
  <c r="Z51" i="6" s="1"/>
  <c r="K49" i="6"/>
  <c r="D49" i="6"/>
  <c r="K46" i="6"/>
  <c r="V46" i="6" s="1"/>
  <c r="D46" i="6"/>
  <c r="Q46" i="6" s="1"/>
  <c r="K45" i="6"/>
  <c r="V45" i="6" s="1"/>
  <c r="D45" i="6"/>
  <c r="R45" i="6" s="1"/>
  <c r="K44" i="6"/>
  <c r="V44" i="6" s="1"/>
  <c r="D44" i="6"/>
  <c r="Q44" i="6" s="1"/>
  <c r="K43" i="6"/>
  <c r="V43" i="6" s="1"/>
  <c r="D43" i="6"/>
  <c r="R43" i="6" s="1"/>
  <c r="K42" i="6"/>
  <c r="V42" i="6" s="1"/>
  <c r="D42" i="6"/>
  <c r="Q42" i="6" s="1"/>
  <c r="K39" i="6"/>
  <c r="V39" i="6" s="1"/>
  <c r="D39" i="6"/>
  <c r="Q39" i="6" s="1"/>
  <c r="K38" i="6"/>
  <c r="V38" i="6" s="1"/>
  <c r="D38" i="6"/>
  <c r="R38" i="6" s="1"/>
  <c r="V37" i="6"/>
  <c r="Y37" i="6" s="1"/>
  <c r="Z37" i="6" s="1"/>
  <c r="X36" i="6"/>
  <c r="K36" i="6"/>
  <c r="V36" i="6" s="1"/>
  <c r="D36" i="6"/>
  <c r="Q36" i="6" s="1"/>
  <c r="K35" i="6"/>
  <c r="V35" i="6" s="1"/>
  <c r="D35" i="6"/>
  <c r="R35" i="6" s="1"/>
  <c r="X34" i="6"/>
  <c r="K34" i="6"/>
  <c r="D34" i="6"/>
  <c r="R34" i="6" s="1"/>
  <c r="K33" i="6"/>
  <c r="V33" i="6" s="1"/>
  <c r="D33" i="6"/>
  <c r="P33" i="6" s="1"/>
  <c r="X31" i="6"/>
  <c r="K31" i="6"/>
  <c r="V31" i="6" s="1"/>
  <c r="D31" i="6"/>
  <c r="R31" i="6" s="1"/>
  <c r="X30" i="6"/>
  <c r="K30" i="6"/>
  <c r="D30" i="6"/>
  <c r="R30" i="6" s="1"/>
  <c r="X29" i="6"/>
  <c r="K29" i="6"/>
  <c r="V29" i="6" s="1"/>
  <c r="D29" i="6"/>
  <c r="Q29" i="6" s="1"/>
  <c r="X28" i="6"/>
  <c r="K28" i="6"/>
  <c r="V28" i="6" s="1"/>
  <c r="D28" i="6"/>
  <c r="P28" i="6" s="1"/>
  <c r="K27" i="6"/>
  <c r="D27" i="6"/>
  <c r="R27" i="6" s="1"/>
  <c r="K26" i="6"/>
  <c r="V26" i="6" s="1"/>
  <c r="D26" i="6"/>
  <c r="P26" i="6" s="1"/>
  <c r="X25" i="6"/>
  <c r="K25" i="6"/>
  <c r="V25" i="6" s="1"/>
  <c r="D25" i="6"/>
  <c r="Q25" i="6" s="1"/>
  <c r="K24" i="6"/>
  <c r="V24" i="6" s="1"/>
  <c r="D24" i="6"/>
  <c r="Q24" i="6" s="1"/>
  <c r="K23" i="6"/>
  <c r="V23" i="6" s="1"/>
  <c r="D23" i="6"/>
  <c r="R23" i="6" s="1"/>
  <c r="X22" i="6"/>
  <c r="K22" i="6"/>
  <c r="D22" i="6"/>
  <c r="R22" i="6" s="1"/>
  <c r="X21" i="6"/>
  <c r="K21" i="6"/>
  <c r="V21" i="6" s="1"/>
  <c r="D21" i="6"/>
  <c r="Q21" i="6" s="1"/>
  <c r="X20" i="6"/>
  <c r="K20" i="6"/>
  <c r="V20" i="6" s="1"/>
  <c r="D20" i="6"/>
  <c r="P20" i="6" s="1"/>
  <c r="X19" i="6"/>
  <c r="K19" i="6"/>
  <c r="D19" i="6"/>
  <c r="W17" i="6"/>
  <c r="U17" i="6"/>
  <c r="H17" i="6"/>
  <c r="G17" i="6"/>
  <c r="F17" i="6"/>
  <c r="E17" i="6"/>
  <c r="K14" i="6"/>
  <c r="D14" i="6"/>
  <c r="R14" i="6" s="1"/>
  <c r="V12" i="6"/>
  <c r="V11" i="6" s="1"/>
  <c r="D12" i="6"/>
  <c r="P12" i="6" s="1"/>
  <c r="Z11" i="6"/>
  <c r="Y11" i="6"/>
  <c r="X11" i="6"/>
  <c r="W11" i="6"/>
  <c r="U11" i="6"/>
  <c r="T11" i="6"/>
  <c r="K11" i="6"/>
  <c r="J11" i="6"/>
  <c r="I11" i="6"/>
  <c r="H11" i="6"/>
  <c r="G11" i="6"/>
  <c r="F11" i="6"/>
  <c r="E11" i="6"/>
  <c r="K55" i="5"/>
  <c r="V55" i="5" s="1"/>
  <c r="D55" i="5"/>
  <c r="R55" i="5" s="1"/>
  <c r="K54" i="5"/>
  <c r="V54" i="5" s="1"/>
  <c r="D54" i="5"/>
  <c r="Q54" i="5" s="1"/>
  <c r="K53" i="5"/>
  <c r="V53" i="5" s="1"/>
  <c r="D53" i="5"/>
  <c r="R53" i="5" s="1"/>
  <c r="K52" i="5"/>
  <c r="V52" i="5" s="1"/>
  <c r="D52" i="5"/>
  <c r="Q52" i="5" s="1"/>
  <c r="Y51" i="5"/>
  <c r="Z51" i="5" s="1"/>
  <c r="X50" i="5"/>
  <c r="X48" i="5" s="1"/>
  <c r="K50" i="5"/>
  <c r="V50" i="5" s="1"/>
  <c r="D50" i="5"/>
  <c r="R50" i="5" s="1"/>
  <c r="K49" i="5"/>
  <c r="D49" i="5"/>
  <c r="K46" i="5"/>
  <c r="V46" i="5" s="1"/>
  <c r="D46" i="5"/>
  <c r="Q46" i="5" s="1"/>
  <c r="K45" i="5"/>
  <c r="V45" i="5" s="1"/>
  <c r="D45" i="5"/>
  <c r="R45" i="5" s="1"/>
  <c r="K44" i="5"/>
  <c r="V44" i="5" s="1"/>
  <c r="D44" i="5"/>
  <c r="Q44" i="5" s="1"/>
  <c r="K43" i="5"/>
  <c r="V43" i="5" s="1"/>
  <c r="D43" i="5"/>
  <c r="R43" i="5" s="1"/>
  <c r="K42" i="5"/>
  <c r="V42" i="5" s="1"/>
  <c r="D42" i="5"/>
  <c r="Q42" i="5" s="1"/>
  <c r="Q40" i="5"/>
  <c r="M40" i="5"/>
  <c r="K40" i="5"/>
  <c r="V40" i="5" s="1"/>
  <c r="K39" i="5"/>
  <c r="V39" i="5" s="1"/>
  <c r="D39" i="5"/>
  <c r="Q39" i="5" s="1"/>
  <c r="K38" i="5"/>
  <c r="V38" i="5" s="1"/>
  <c r="D38" i="5"/>
  <c r="R38" i="5" s="1"/>
  <c r="V37" i="5"/>
  <c r="Y37" i="5" s="1"/>
  <c r="Z37" i="5" s="1"/>
  <c r="X36" i="5"/>
  <c r="K36" i="5"/>
  <c r="V36" i="5" s="1"/>
  <c r="D36" i="5"/>
  <c r="Q36" i="5" s="1"/>
  <c r="K35" i="5"/>
  <c r="V35" i="5" s="1"/>
  <c r="D35" i="5"/>
  <c r="R35" i="5" s="1"/>
  <c r="X34" i="5"/>
  <c r="K34" i="5"/>
  <c r="V34" i="5" s="1"/>
  <c r="D34" i="5"/>
  <c r="R34" i="5" s="1"/>
  <c r="K33" i="5"/>
  <c r="V33" i="5" s="1"/>
  <c r="D33" i="5"/>
  <c r="P33" i="5" s="1"/>
  <c r="X31" i="5"/>
  <c r="K31" i="5"/>
  <c r="V31" i="5" s="1"/>
  <c r="D31" i="5"/>
  <c r="R31" i="5" s="1"/>
  <c r="X30" i="5"/>
  <c r="K30" i="5"/>
  <c r="V30" i="5" s="1"/>
  <c r="D30" i="5"/>
  <c r="R30" i="5" s="1"/>
  <c r="X29" i="5"/>
  <c r="K29" i="5"/>
  <c r="V29" i="5" s="1"/>
  <c r="D29" i="5"/>
  <c r="Q29" i="5" s="1"/>
  <c r="X28" i="5"/>
  <c r="K28" i="5"/>
  <c r="V28" i="5" s="1"/>
  <c r="D28" i="5"/>
  <c r="P28" i="5" s="1"/>
  <c r="K27" i="5"/>
  <c r="V27" i="5" s="1"/>
  <c r="D27" i="5"/>
  <c r="R27" i="5" s="1"/>
  <c r="K26" i="5"/>
  <c r="V26" i="5" s="1"/>
  <c r="D26" i="5"/>
  <c r="P26" i="5" s="1"/>
  <c r="X25" i="5"/>
  <c r="K25" i="5"/>
  <c r="V25" i="5" s="1"/>
  <c r="D25" i="5"/>
  <c r="R25" i="5" s="1"/>
  <c r="K24" i="5"/>
  <c r="V24" i="5" s="1"/>
  <c r="D24" i="5"/>
  <c r="Q24" i="5" s="1"/>
  <c r="K23" i="5"/>
  <c r="V23" i="5" s="1"/>
  <c r="D23" i="5"/>
  <c r="R23" i="5" s="1"/>
  <c r="X22" i="5"/>
  <c r="K22" i="5"/>
  <c r="V22" i="5" s="1"/>
  <c r="D22" i="5"/>
  <c r="R22" i="5" s="1"/>
  <c r="X21" i="5"/>
  <c r="K21" i="5"/>
  <c r="V21" i="5" s="1"/>
  <c r="D21" i="5"/>
  <c r="Q21" i="5" s="1"/>
  <c r="X20" i="5"/>
  <c r="K20" i="5"/>
  <c r="V20" i="5" s="1"/>
  <c r="D20" i="5"/>
  <c r="P20" i="5" s="1"/>
  <c r="X19" i="5"/>
  <c r="K19" i="5"/>
  <c r="V19" i="5" s="1"/>
  <c r="D19" i="5"/>
  <c r="R19" i="5" s="1"/>
  <c r="K18" i="5"/>
  <c r="V18" i="5" s="1"/>
  <c r="D18" i="5"/>
  <c r="Q18" i="5" s="1"/>
  <c r="W17" i="5"/>
  <c r="U17" i="5"/>
  <c r="I17" i="5"/>
  <c r="H17" i="5"/>
  <c r="G17" i="5"/>
  <c r="F17" i="5"/>
  <c r="E17" i="5"/>
  <c r="K14" i="5"/>
  <c r="V14" i="5" s="1"/>
  <c r="V13" i="5" s="1"/>
  <c r="D14" i="5"/>
  <c r="R14" i="5" s="1"/>
  <c r="R13" i="5" s="1"/>
  <c r="X13" i="5"/>
  <c r="W13" i="5"/>
  <c r="U13" i="5"/>
  <c r="J13" i="5"/>
  <c r="I13" i="5"/>
  <c r="H13" i="5"/>
  <c r="G13" i="5"/>
  <c r="F13" i="5"/>
  <c r="E13" i="5"/>
  <c r="V12" i="5"/>
  <c r="V11" i="5" s="1"/>
  <c r="D12" i="5"/>
  <c r="P12" i="5" s="1"/>
  <c r="Z11" i="5"/>
  <c r="Y11" i="5"/>
  <c r="X11" i="5"/>
  <c r="W11" i="5"/>
  <c r="U11" i="5"/>
  <c r="T11" i="5"/>
  <c r="K11" i="5"/>
  <c r="J11" i="5"/>
  <c r="I11" i="5"/>
  <c r="H11" i="5"/>
  <c r="G11" i="5"/>
  <c r="F11" i="5"/>
  <c r="E11" i="5"/>
  <c r="V32" i="4"/>
  <c r="Q32" i="4"/>
  <c r="S32" i="4" s="1"/>
  <c r="M32" i="4"/>
  <c r="O32" i="4" s="1"/>
  <c r="K40" i="1"/>
  <c r="K18" i="1"/>
  <c r="E48" i="4"/>
  <c r="F48" i="4"/>
  <c r="G48" i="4"/>
  <c r="H48" i="4"/>
  <c r="I48" i="4"/>
  <c r="J48" i="4"/>
  <c r="U48" i="4"/>
  <c r="W48" i="4"/>
  <c r="E17" i="4"/>
  <c r="F17" i="4"/>
  <c r="G17" i="4"/>
  <c r="H17" i="4"/>
  <c r="I17" i="4"/>
  <c r="J17" i="4"/>
  <c r="U17" i="4"/>
  <c r="W17" i="4"/>
  <c r="K18" i="4"/>
  <c r="V18" i="4" s="1"/>
  <c r="P50" i="12" l="1"/>
  <c r="S43" i="12"/>
  <c r="S45" i="12"/>
  <c r="O46" i="12"/>
  <c r="S42" i="12"/>
  <c r="S15" i="12"/>
  <c r="S56" i="12"/>
  <c r="S54" i="12"/>
  <c r="S26" i="12"/>
  <c r="S25" i="12"/>
  <c r="S31" i="12"/>
  <c r="S23" i="12"/>
  <c r="S27" i="12"/>
  <c r="O39" i="12"/>
  <c r="Y39" i="12" s="1"/>
  <c r="Z39" i="12" s="1"/>
  <c r="T39" i="12" s="1"/>
  <c r="O16" i="12"/>
  <c r="Y16" i="12" s="1"/>
  <c r="Z16" i="12" s="1"/>
  <c r="T16" i="12" s="1"/>
  <c r="O35" i="12"/>
  <c r="Y35" i="12" s="1"/>
  <c r="Z35" i="12" s="1"/>
  <c r="T35" i="12" s="1"/>
  <c r="S24" i="12"/>
  <c r="S44" i="12"/>
  <c r="S39" i="12"/>
  <c r="S30" i="12"/>
  <c r="S22" i="12"/>
  <c r="S46" i="12"/>
  <c r="S38" i="12"/>
  <c r="O33" i="12"/>
  <c r="Y33" i="12" s="1"/>
  <c r="Z33" i="12" s="1"/>
  <c r="T33" i="12" s="1"/>
  <c r="S33" i="12"/>
  <c r="Q17" i="11"/>
  <c r="M17" i="11"/>
  <c r="N17" i="11"/>
  <c r="L17" i="11"/>
  <c r="O26" i="11"/>
  <c r="O31" i="11"/>
  <c r="Y31" i="11" s="1"/>
  <c r="Z31" i="11" s="1"/>
  <c r="T31" i="11" s="1"/>
  <c r="P17" i="11"/>
  <c r="S28" i="11"/>
  <c r="S34" i="11"/>
  <c r="S39" i="11"/>
  <c r="S19" i="11"/>
  <c r="O46" i="11"/>
  <c r="Y46" i="11" s="1"/>
  <c r="Z46" i="11" s="1"/>
  <c r="T46" i="11" s="1"/>
  <c r="O20" i="11"/>
  <c r="Y20" i="11" s="1"/>
  <c r="Z20" i="11" s="1"/>
  <c r="T20" i="11" s="1"/>
  <c r="S42" i="11"/>
  <c r="S46" i="11"/>
  <c r="O44" i="11"/>
  <c r="Y44" i="11" s="1"/>
  <c r="Z44" i="11" s="1"/>
  <c r="T44" i="11" s="1"/>
  <c r="O16" i="10"/>
  <c r="Y16" i="10" s="1"/>
  <c r="Z16" i="10" s="1"/>
  <c r="D59" i="10"/>
  <c r="S26" i="10"/>
  <c r="O26" i="10"/>
  <c r="Y26" i="10" s="1"/>
  <c r="Z26" i="10" s="1"/>
  <c r="O28" i="10"/>
  <c r="Y28" i="10" s="1"/>
  <c r="Z28" i="10" s="1"/>
  <c r="T28" i="10" s="1"/>
  <c r="S28" i="10"/>
  <c r="S35" i="10"/>
  <c r="S25" i="10"/>
  <c r="S23" i="10"/>
  <c r="M23" i="5"/>
  <c r="S34" i="7"/>
  <c r="O38" i="9"/>
  <c r="Y38" i="9" s="1"/>
  <c r="Z38" i="9" s="1"/>
  <c r="T38" i="9" s="1"/>
  <c r="O21" i="9"/>
  <c r="O35" i="10"/>
  <c r="S34" i="8"/>
  <c r="S20" i="11"/>
  <c r="K59" i="10"/>
  <c r="S34" i="12"/>
  <c r="S43" i="7"/>
  <c r="S26" i="9"/>
  <c r="S57" i="12"/>
  <c r="K57" i="9"/>
  <c r="D57" i="9"/>
  <c r="S44" i="11"/>
  <c r="S39" i="8"/>
  <c r="S24" i="11"/>
  <c r="S25" i="11"/>
  <c r="L43" i="5"/>
  <c r="L50" i="5"/>
  <c r="K17" i="6"/>
  <c r="O43" i="8"/>
  <c r="O24" i="8"/>
  <c r="Y24" i="8" s="1"/>
  <c r="Z24" i="8" s="1"/>
  <c r="O55" i="12"/>
  <c r="Y55" i="12" s="1"/>
  <c r="Z55" i="12" s="1"/>
  <c r="T55" i="12" s="1"/>
  <c r="O20" i="12"/>
  <c r="Y20" i="12" s="1"/>
  <c r="Z20" i="12" s="1"/>
  <c r="T20" i="12" s="1"/>
  <c r="M43" i="5"/>
  <c r="S15" i="8"/>
  <c r="S28" i="9"/>
  <c r="K57" i="8"/>
  <c r="O23" i="9"/>
  <c r="O34" i="11"/>
  <c r="S36" i="12"/>
  <c r="S54" i="7"/>
  <c r="S55" i="11"/>
  <c r="S42" i="8"/>
  <c r="S26" i="11"/>
  <c r="S53" i="9"/>
  <c r="O43" i="9"/>
  <c r="Y43" i="9" s="1"/>
  <c r="Z43" i="9" s="1"/>
  <c r="T43" i="9" s="1"/>
  <c r="O24" i="9"/>
  <c r="S20" i="9"/>
  <c r="S22" i="9"/>
  <c r="S29" i="10"/>
  <c r="S35" i="12"/>
  <c r="S16" i="12"/>
  <c r="S49" i="7"/>
  <c r="P49" i="5"/>
  <c r="D48" i="5"/>
  <c r="P19" i="6"/>
  <c r="D17" i="6"/>
  <c r="E57" i="5"/>
  <c r="I57" i="5"/>
  <c r="U57" i="5"/>
  <c r="X17" i="5"/>
  <c r="I57" i="6"/>
  <c r="O45" i="7"/>
  <c r="O53" i="7"/>
  <c r="S55" i="7"/>
  <c r="S36" i="7"/>
  <c r="S28" i="7"/>
  <c r="S15" i="7"/>
  <c r="S42" i="9"/>
  <c r="O57" i="10"/>
  <c r="O38" i="11"/>
  <c r="Y38" i="11" s="1"/>
  <c r="Z38" i="11" s="1"/>
  <c r="T38" i="11" s="1"/>
  <c r="O25" i="11"/>
  <c r="O21" i="11"/>
  <c r="Y21" i="11" s="1"/>
  <c r="Z21" i="11" s="1"/>
  <c r="S45" i="11"/>
  <c r="S38" i="11"/>
  <c r="S29" i="11"/>
  <c r="S21" i="11"/>
  <c r="S14" i="11"/>
  <c r="O28" i="11"/>
  <c r="O19" i="11"/>
  <c r="O20" i="10"/>
  <c r="Y20" i="10" s="1"/>
  <c r="Z20" i="10" s="1"/>
  <c r="T20" i="10" s="1"/>
  <c r="S44" i="9"/>
  <c r="S31" i="11"/>
  <c r="K59" i="11"/>
  <c r="D11" i="5"/>
  <c r="M34" i="6"/>
  <c r="Q35" i="6"/>
  <c r="K48" i="6"/>
  <c r="O29" i="7"/>
  <c r="O34" i="7"/>
  <c r="Y34" i="7" s="1"/>
  <c r="Z34" i="7" s="1"/>
  <c r="T34" i="7" s="1"/>
  <c r="V48" i="7"/>
  <c r="O44" i="7"/>
  <c r="S31" i="7"/>
  <c r="S26" i="7"/>
  <c r="O52" i="7"/>
  <c r="Y52" i="7" s="1"/>
  <c r="Z52" i="7" s="1"/>
  <c r="O46" i="8"/>
  <c r="Y46" i="8" s="1"/>
  <c r="Z46" i="8" s="1"/>
  <c r="T46" i="8" s="1"/>
  <c r="S43" i="8"/>
  <c r="S35" i="8"/>
  <c r="O26" i="8"/>
  <c r="O55" i="10"/>
  <c r="O44" i="10"/>
  <c r="Y44" i="10" s="1"/>
  <c r="Z44" i="10" s="1"/>
  <c r="T44" i="10" s="1"/>
  <c r="O34" i="10"/>
  <c r="Y34" i="10" s="1"/>
  <c r="Z34" i="10" s="1"/>
  <c r="O45" i="11"/>
  <c r="Y45" i="11" s="1"/>
  <c r="Z45" i="11" s="1"/>
  <c r="O39" i="11"/>
  <c r="Y39" i="11" s="1"/>
  <c r="Z39" i="11" s="1"/>
  <c r="S22" i="11"/>
  <c r="D59" i="11"/>
  <c r="S16" i="7"/>
  <c r="O55" i="11"/>
  <c r="Q48" i="9"/>
  <c r="S28" i="8"/>
  <c r="V49" i="5"/>
  <c r="V48" i="5" s="1"/>
  <c r="K48" i="5"/>
  <c r="D48" i="6"/>
  <c r="O43" i="7"/>
  <c r="O28" i="7"/>
  <c r="Y28" i="7" s="1"/>
  <c r="Z28" i="7" s="1"/>
  <c r="T28" i="7" s="1"/>
  <c r="S44" i="7"/>
  <c r="O36" i="8"/>
  <c r="S16" i="8"/>
  <c r="P17" i="8"/>
  <c r="M48" i="9"/>
  <c r="O36" i="9"/>
  <c r="S43" i="9"/>
  <c r="S35" i="9"/>
  <c r="S24" i="9"/>
  <c r="Y21" i="9"/>
  <c r="Z21" i="9" s="1"/>
  <c r="T21" i="9" s="1"/>
  <c r="O55" i="9"/>
  <c r="O34" i="9"/>
  <c r="O31" i="9"/>
  <c r="S25" i="9"/>
  <c r="O46" i="10"/>
  <c r="O42" i="10"/>
  <c r="Y42" i="10" s="1"/>
  <c r="Z42" i="10" s="1"/>
  <c r="S43" i="10"/>
  <c r="O36" i="10"/>
  <c r="Y36" i="10" s="1"/>
  <c r="Z36" i="10" s="1"/>
  <c r="O30" i="10"/>
  <c r="O54" i="12"/>
  <c r="Y54" i="12" s="1"/>
  <c r="Z54" i="12" s="1"/>
  <c r="T54" i="12" s="1"/>
  <c r="O30" i="12"/>
  <c r="Y30" i="12" s="1"/>
  <c r="Z30" i="12" s="1"/>
  <c r="T30" i="12" s="1"/>
  <c r="O24" i="12"/>
  <c r="Y24" i="12" s="1"/>
  <c r="Z24" i="12" s="1"/>
  <c r="T24" i="12" s="1"/>
  <c r="O56" i="12"/>
  <c r="Y56" i="12" s="1"/>
  <c r="Z56" i="12" s="1"/>
  <c r="T56" i="12" s="1"/>
  <c r="S51" i="12"/>
  <c r="O26" i="12"/>
  <c r="Y26" i="12" s="1"/>
  <c r="Z26" i="12" s="1"/>
  <c r="T26" i="12" s="1"/>
  <c r="O15" i="12"/>
  <c r="Y15" i="12" s="1"/>
  <c r="Z15" i="12" s="1"/>
  <c r="T15" i="12" s="1"/>
  <c r="S28" i="12"/>
  <c r="D57" i="7"/>
  <c r="S36" i="8"/>
  <c r="Y47" i="10"/>
  <c r="Z47" i="10" s="1"/>
  <c r="T47" i="10" s="1"/>
  <c r="Y47" i="8"/>
  <c r="Z47" i="8" s="1"/>
  <c r="T47" i="8" s="1"/>
  <c r="Y56" i="5"/>
  <c r="L19" i="6"/>
  <c r="Q26" i="6"/>
  <c r="Q38" i="6"/>
  <c r="V49" i="6"/>
  <c r="V48" i="6" s="1"/>
  <c r="Q43" i="6"/>
  <c r="X17" i="6"/>
  <c r="D11" i="6"/>
  <c r="M12" i="6"/>
  <c r="M11" i="6" s="1"/>
  <c r="L14" i="6"/>
  <c r="M20" i="6"/>
  <c r="Q53" i="6"/>
  <c r="Q23" i="6"/>
  <c r="M26" i="6"/>
  <c r="L27" i="6"/>
  <c r="L34" i="6"/>
  <c r="L43" i="6"/>
  <c r="M28" i="6"/>
  <c r="Q45" i="6"/>
  <c r="H57" i="5"/>
  <c r="R12" i="5"/>
  <c r="R11" i="5" s="1"/>
  <c r="K13" i="5"/>
  <c r="L23" i="5"/>
  <c r="M25" i="5"/>
  <c r="M31" i="5"/>
  <c r="M45" i="5"/>
  <c r="Q19" i="5"/>
  <c r="L25" i="5"/>
  <c r="L27" i="5"/>
  <c r="L31" i="5"/>
  <c r="L34" i="5"/>
  <c r="Q35" i="5"/>
  <c r="L45" i="5"/>
  <c r="Q50" i="5"/>
  <c r="D17" i="5"/>
  <c r="Q23" i="5"/>
  <c r="Q38" i="5"/>
  <c r="Q43" i="5"/>
  <c r="M50" i="5"/>
  <c r="Q53" i="5"/>
  <c r="Q25" i="5"/>
  <c r="Q31" i="5"/>
  <c r="Q45" i="5"/>
  <c r="V19" i="6"/>
  <c r="P31" i="6"/>
  <c r="Y45" i="7"/>
  <c r="Z45" i="7" s="1"/>
  <c r="T45" i="7" s="1"/>
  <c r="O23" i="8"/>
  <c r="O44" i="12"/>
  <c r="Y44" i="12" s="1"/>
  <c r="Z44" i="12" s="1"/>
  <c r="T44" i="12" s="1"/>
  <c r="P14" i="5"/>
  <c r="P19" i="5"/>
  <c r="P30" i="5"/>
  <c r="P38" i="5"/>
  <c r="P23" i="6"/>
  <c r="P25" i="6"/>
  <c r="P35" i="6"/>
  <c r="P38" i="6"/>
  <c r="O16" i="7"/>
  <c r="O44" i="9"/>
  <c r="S14" i="9"/>
  <c r="S31" i="9"/>
  <c r="O56" i="10"/>
  <c r="S29" i="12"/>
  <c r="O31" i="12"/>
  <c r="Y31" i="12" s="1"/>
  <c r="Z31" i="12" s="1"/>
  <c r="T31" i="12" s="1"/>
  <c r="F57" i="5"/>
  <c r="J57" i="5"/>
  <c r="X57" i="5"/>
  <c r="N12" i="5"/>
  <c r="N11" i="5" s="1"/>
  <c r="L14" i="5"/>
  <c r="L13" i="5" s="1"/>
  <c r="V17" i="5"/>
  <c r="V57" i="5" s="1"/>
  <c r="M19" i="5"/>
  <c r="L22" i="5"/>
  <c r="L30" i="5"/>
  <c r="M35" i="5"/>
  <c r="M38" i="5"/>
  <c r="M53" i="5"/>
  <c r="L55" i="5"/>
  <c r="M23" i="6"/>
  <c r="M25" i="6"/>
  <c r="P30" i="6"/>
  <c r="L31" i="6"/>
  <c r="M33" i="6"/>
  <c r="M35" i="6"/>
  <c r="M38" i="6"/>
  <c r="P43" i="6"/>
  <c r="M45" i="6"/>
  <c r="M53" i="6"/>
  <c r="M13" i="7"/>
  <c r="S42" i="7"/>
  <c r="S20" i="7"/>
  <c r="O44" i="8"/>
  <c r="O31" i="8"/>
  <c r="Y31" i="8" s="1"/>
  <c r="Z31" i="8" s="1"/>
  <c r="O21" i="8"/>
  <c r="Y21" i="8" s="1"/>
  <c r="Z21" i="8" s="1"/>
  <c r="T21" i="8" s="1"/>
  <c r="S45" i="8"/>
  <c r="S38" i="8"/>
  <c r="S29" i="8"/>
  <c r="R17" i="8"/>
  <c r="S54" i="8"/>
  <c r="O25" i="8"/>
  <c r="O46" i="9"/>
  <c r="Y46" i="9" s="1"/>
  <c r="Z46" i="9" s="1"/>
  <c r="T46" i="9" s="1"/>
  <c r="S36" i="9"/>
  <c r="R17" i="9"/>
  <c r="S16" i="10"/>
  <c r="N13" i="10"/>
  <c r="S36" i="10"/>
  <c r="O33" i="10"/>
  <c r="Y33" i="10" s="1"/>
  <c r="Z33" i="10" s="1"/>
  <c r="T33" i="10" s="1"/>
  <c r="O27" i="10"/>
  <c r="O42" i="11"/>
  <c r="Y42" i="11" s="1"/>
  <c r="Z42" i="11" s="1"/>
  <c r="T42" i="11" s="1"/>
  <c r="O29" i="11"/>
  <c r="O23" i="11"/>
  <c r="Y23" i="11" s="1"/>
  <c r="Z23" i="11" s="1"/>
  <c r="T23" i="11" s="1"/>
  <c r="S43" i="11"/>
  <c r="S35" i="11"/>
  <c r="S16" i="11"/>
  <c r="S13" i="11" s="1"/>
  <c r="R13" i="11"/>
  <c r="S23" i="11"/>
  <c r="O15" i="11"/>
  <c r="Y15" i="11" s="1"/>
  <c r="Z15" i="11" s="1"/>
  <c r="T15" i="11" s="1"/>
  <c r="O27" i="12"/>
  <c r="Y27" i="12" s="1"/>
  <c r="Z27" i="12" s="1"/>
  <c r="T27" i="12" s="1"/>
  <c r="M17" i="12"/>
  <c r="O57" i="12"/>
  <c r="Y57" i="12" s="1"/>
  <c r="Z57" i="12" s="1"/>
  <c r="T57" i="12" s="1"/>
  <c r="O34" i="12"/>
  <c r="Y34" i="12" s="1"/>
  <c r="Z34" i="12" s="1"/>
  <c r="T34" i="12" s="1"/>
  <c r="D59" i="12"/>
  <c r="Q19" i="6"/>
  <c r="P49" i="6"/>
  <c r="P55" i="5"/>
  <c r="P13" i="7"/>
  <c r="O39" i="10"/>
  <c r="Y39" i="10" s="1"/>
  <c r="Z39" i="10" s="1"/>
  <c r="T39" i="10" s="1"/>
  <c r="S12" i="11"/>
  <c r="S11" i="11" s="1"/>
  <c r="R17" i="12"/>
  <c r="G57" i="5"/>
  <c r="P22" i="5"/>
  <c r="P35" i="5"/>
  <c r="S35" i="5" s="1"/>
  <c r="P53" i="5"/>
  <c r="M55" i="5"/>
  <c r="M31" i="6"/>
  <c r="Q33" i="6"/>
  <c r="P45" i="6"/>
  <c r="P53" i="6"/>
  <c r="S53" i="7"/>
  <c r="O46" i="7"/>
  <c r="Y46" i="7" s="1"/>
  <c r="Z46" i="7" s="1"/>
  <c r="O42" i="7"/>
  <c r="R17" i="7"/>
  <c r="M48" i="8"/>
  <c r="S21" i="8"/>
  <c r="M13" i="8"/>
  <c r="O53" i="9"/>
  <c r="Y53" i="9" s="1"/>
  <c r="Z53" i="9" s="1"/>
  <c r="T53" i="9" s="1"/>
  <c r="O22" i="10"/>
  <c r="Y22" i="10" s="1"/>
  <c r="Z22" i="10" s="1"/>
  <c r="T22" i="10" s="1"/>
  <c r="D57" i="8"/>
  <c r="D13" i="5"/>
  <c r="L19" i="5"/>
  <c r="P23" i="5"/>
  <c r="P25" i="5"/>
  <c r="S25" i="5" s="1"/>
  <c r="P27" i="5"/>
  <c r="P31" i="5"/>
  <c r="P34" i="5"/>
  <c r="L35" i="5"/>
  <c r="L38" i="5"/>
  <c r="P43" i="5"/>
  <c r="S43" i="5" s="1"/>
  <c r="P45" i="5"/>
  <c r="S45" i="5" s="1"/>
  <c r="P50" i="5"/>
  <c r="S50" i="5" s="1"/>
  <c r="L53" i="5"/>
  <c r="Q55" i="5"/>
  <c r="J57" i="6"/>
  <c r="Q20" i="6"/>
  <c r="L22" i="6"/>
  <c r="L23" i="6"/>
  <c r="L25" i="6"/>
  <c r="P27" i="6"/>
  <c r="Q28" i="6"/>
  <c r="L30" i="6"/>
  <c r="Q31" i="6"/>
  <c r="P34" i="6"/>
  <c r="L35" i="6"/>
  <c r="L38" i="6"/>
  <c r="M43" i="6"/>
  <c r="L45" i="6"/>
  <c r="L53" i="6"/>
  <c r="O21" i="7"/>
  <c r="R48" i="7"/>
  <c r="S45" i="7"/>
  <c r="O26" i="7"/>
  <c r="S23" i="7"/>
  <c r="O55" i="8"/>
  <c r="O28" i="8"/>
  <c r="Y28" i="8" s="1"/>
  <c r="Z28" i="8" s="1"/>
  <c r="T28" i="8" s="1"/>
  <c r="O42" i="9"/>
  <c r="O35" i="9"/>
  <c r="Y35" i="9" s="1"/>
  <c r="Z35" i="9" s="1"/>
  <c r="T35" i="9" s="1"/>
  <c r="O29" i="9"/>
  <c r="Y29" i="9" s="1"/>
  <c r="Z29" i="9" s="1"/>
  <c r="S16" i="9"/>
  <c r="S45" i="9"/>
  <c r="S38" i="9"/>
  <c r="S29" i="9"/>
  <c r="O16" i="9"/>
  <c r="Y16" i="9" s="1"/>
  <c r="Z16" i="9" s="1"/>
  <c r="S46" i="9"/>
  <c r="O39" i="9"/>
  <c r="S33" i="9"/>
  <c r="O25" i="9"/>
  <c r="O22" i="9"/>
  <c r="Y22" i="9" s="1"/>
  <c r="Z22" i="9" s="1"/>
  <c r="O38" i="10"/>
  <c r="Y38" i="10" s="1"/>
  <c r="Z38" i="10" s="1"/>
  <c r="T38" i="10" s="1"/>
  <c r="S45" i="10"/>
  <c r="S38" i="10"/>
  <c r="R17" i="10"/>
  <c r="S14" i="10"/>
  <c r="S46" i="10"/>
  <c r="S42" i="10"/>
  <c r="Q13" i="10"/>
  <c r="M13" i="11"/>
  <c r="S56" i="11"/>
  <c r="M50" i="12"/>
  <c r="O43" i="12"/>
  <c r="Y43" i="12" s="1"/>
  <c r="Z43" i="12" s="1"/>
  <c r="T43" i="12" s="1"/>
  <c r="O29" i="12"/>
  <c r="Y29" i="12" s="1"/>
  <c r="Z29" i="12" s="1"/>
  <c r="T29" i="12" s="1"/>
  <c r="K59" i="12"/>
  <c r="N50" i="12"/>
  <c r="O28" i="12"/>
  <c r="Y28" i="12" s="1"/>
  <c r="Z28" i="12" s="1"/>
  <c r="T28" i="12" s="1"/>
  <c r="Q50" i="12"/>
  <c r="O25" i="12"/>
  <c r="Y25" i="12" s="1"/>
  <c r="Z25" i="12" s="1"/>
  <c r="Q17" i="12"/>
  <c r="P13" i="12"/>
  <c r="Y46" i="12"/>
  <c r="Z46" i="12" s="1"/>
  <c r="T46" i="12" s="1"/>
  <c r="O45" i="12"/>
  <c r="Y45" i="12" s="1"/>
  <c r="Z45" i="12" s="1"/>
  <c r="O21" i="12"/>
  <c r="Y21" i="12" s="1"/>
  <c r="Z21" i="12" s="1"/>
  <c r="Q13" i="12"/>
  <c r="N13" i="12"/>
  <c r="O22" i="12"/>
  <c r="S14" i="12"/>
  <c r="S55" i="12"/>
  <c r="V13" i="12"/>
  <c r="O12" i="12"/>
  <c r="O11" i="12" s="1"/>
  <c r="L11" i="12"/>
  <c r="O23" i="12"/>
  <c r="R13" i="12"/>
  <c r="V17" i="12"/>
  <c r="O19" i="12"/>
  <c r="L17" i="12"/>
  <c r="S12" i="12"/>
  <c r="S11" i="12" s="1"/>
  <c r="P11" i="12"/>
  <c r="O42" i="12"/>
  <c r="O36" i="12"/>
  <c r="S20" i="12"/>
  <c r="O14" i="12"/>
  <c r="L13" i="12"/>
  <c r="S19" i="12"/>
  <c r="P17" i="12"/>
  <c r="O38" i="12"/>
  <c r="Y38" i="12" s="1"/>
  <c r="Z38" i="12" s="1"/>
  <c r="N17" i="12"/>
  <c r="R50" i="12"/>
  <c r="M13" i="12"/>
  <c r="L50" i="12"/>
  <c r="V50" i="12"/>
  <c r="O51" i="12"/>
  <c r="Y36" i="11"/>
  <c r="Z36" i="11" s="1"/>
  <c r="T36" i="11" s="1"/>
  <c r="Y25" i="11"/>
  <c r="Z25" i="11" s="1"/>
  <c r="T25" i="11" s="1"/>
  <c r="Y57" i="11"/>
  <c r="Z57" i="11" s="1"/>
  <c r="T57" i="11" s="1"/>
  <c r="Y28" i="11"/>
  <c r="Z28" i="11" s="1"/>
  <c r="T28" i="11" s="1"/>
  <c r="Y34" i="11"/>
  <c r="Z34" i="11" s="1"/>
  <c r="T34" i="11" s="1"/>
  <c r="Y26" i="11"/>
  <c r="Z26" i="11" s="1"/>
  <c r="T26" i="11" s="1"/>
  <c r="O43" i="11"/>
  <c r="O24" i="11"/>
  <c r="N13" i="11"/>
  <c r="O56" i="11"/>
  <c r="O54" i="11"/>
  <c r="S30" i="11"/>
  <c r="S27" i="11"/>
  <c r="O22" i="11"/>
  <c r="O14" i="11"/>
  <c r="L13" i="11"/>
  <c r="O51" i="11"/>
  <c r="S54" i="11"/>
  <c r="S51" i="11"/>
  <c r="V17" i="11"/>
  <c r="V59" i="11" s="1"/>
  <c r="O33" i="11"/>
  <c r="O35" i="11"/>
  <c r="O16" i="11"/>
  <c r="Q13" i="11"/>
  <c r="S33" i="11"/>
  <c r="O30" i="11"/>
  <c r="O27" i="11"/>
  <c r="Y55" i="11"/>
  <c r="Z55" i="11" s="1"/>
  <c r="O12" i="11"/>
  <c r="O11" i="11" s="1"/>
  <c r="Y57" i="10"/>
  <c r="Z57" i="10" s="1"/>
  <c r="T57" i="10" s="1"/>
  <c r="Y55" i="10"/>
  <c r="Z55" i="10" s="1"/>
  <c r="Y46" i="10"/>
  <c r="Z46" i="10" s="1"/>
  <c r="T46" i="10" s="1"/>
  <c r="O14" i="10"/>
  <c r="Y14" i="10" s="1"/>
  <c r="L13" i="10"/>
  <c r="O12" i="10"/>
  <c r="O11" i="10" s="1"/>
  <c r="L11" i="10"/>
  <c r="V17" i="10"/>
  <c r="S12" i="10"/>
  <c r="S11" i="10" s="1"/>
  <c r="P11" i="10"/>
  <c r="O51" i="10"/>
  <c r="L50" i="10"/>
  <c r="O54" i="10"/>
  <c r="Y56" i="10"/>
  <c r="Z56" i="10" s="1"/>
  <c r="T56" i="10" s="1"/>
  <c r="Y27" i="10"/>
  <c r="Z27" i="10" s="1"/>
  <c r="T27" i="10" s="1"/>
  <c r="O45" i="10"/>
  <c r="N50" i="10"/>
  <c r="S56" i="10"/>
  <c r="S54" i="10"/>
  <c r="S30" i="10"/>
  <c r="S27" i="10"/>
  <c r="O23" i="10"/>
  <c r="Y23" i="10" s="1"/>
  <c r="Z23" i="10" s="1"/>
  <c r="Y30" i="10"/>
  <c r="Z30" i="10" s="1"/>
  <c r="T30" i="10" s="1"/>
  <c r="L17" i="10"/>
  <c r="O21" i="10"/>
  <c r="V13" i="10"/>
  <c r="S51" i="10"/>
  <c r="P50" i="10"/>
  <c r="O19" i="10"/>
  <c r="M17" i="10"/>
  <c r="O29" i="10"/>
  <c r="R50" i="10"/>
  <c r="T16" i="10"/>
  <c r="P13" i="10"/>
  <c r="S19" i="10"/>
  <c r="Q17" i="10"/>
  <c r="M13" i="10"/>
  <c r="O15" i="10"/>
  <c r="Y15" i="10" s="1"/>
  <c r="Z15" i="10" s="1"/>
  <c r="O25" i="10"/>
  <c r="T26" i="10"/>
  <c r="M50" i="10"/>
  <c r="O43" i="10"/>
  <c r="O24" i="10"/>
  <c r="N17" i="10"/>
  <c r="R13" i="10"/>
  <c r="S33" i="10"/>
  <c r="O31" i="10"/>
  <c r="Y31" i="10" s="1"/>
  <c r="Z31" i="10" s="1"/>
  <c r="S22" i="10"/>
  <c r="Y35" i="10"/>
  <c r="Z35" i="10" s="1"/>
  <c r="T35" i="10" s="1"/>
  <c r="P17" i="10"/>
  <c r="Y28" i="9"/>
  <c r="Z28" i="9" s="1"/>
  <c r="T28" i="9" s="1"/>
  <c r="Y23" i="9"/>
  <c r="Z23" i="9" s="1"/>
  <c r="T23" i="9" s="1"/>
  <c r="Y39" i="9"/>
  <c r="Z39" i="9" s="1"/>
  <c r="T39" i="9" s="1"/>
  <c r="Y36" i="9"/>
  <c r="Z36" i="9" s="1"/>
  <c r="T36" i="9" s="1"/>
  <c r="Y55" i="9"/>
  <c r="Z55" i="9" s="1"/>
  <c r="T55" i="9" s="1"/>
  <c r="Y34" i="9"/>
  <c r="Z34" i="9" s="1"/>
  <c r="T34" i="9" s="1"/>
  <c r="Y31" i="9"/>
  <c r="Z31" i="9" s="1"/>
  <c r="T31" i="9" s="1"/>
  <c r="O14" i="9"/>
  <c r="Y14" i="9" s="1"/>
  <c r="L13" i="9"/>
  <c r="V13" i="9"/>
  <c r="S19" i="9"/>
  <c r="P17" i="9"/>
  <c r="S12" i="9"/>
  <c r="S11" i="9" s="1"/>
  <c r="P11" i="9"/>
  <c r="O49" i="9"/>
  <c r="L48" i="9"/>
  <c r="O45" i="9"/>
  <c r="O26" i="9"/>
  <c r="S15" i="9"/>
  <c r="S54" i="9"/>
  <c r="S52" i="9"/>
  <c r="Y44" i="9"/>
  <c r="Z44" i="9" s="1"/>
  <c r="T44" i="9" s="1"/>
  <c r="O33" i="9"/>
  <c r="S30" i="9"/>
  <c r="S27" i="9"/>
  <c r="T22" i="9"/>
  <c r="S49" i="9"/>
  <c r="P48" i="9"/>
  <c r="N48" i="9"/>
  <c r="N13" i="9"/>
  <c r="M17" i="9"/>
  <c r="T29" i="9"/>
  <c r="N17" i="9"/>
  <c r="R48" i="9"/>
  <c r="R13" i="9"/>
  <c r="Y42" i="9"/>
  <c r="Z42" i="9" s="1"/>
  <c r="T42" i="9" s="1"/>
  <c r="Q17" i="9"/>
  <c r="O19" i="9"/>
  <c r="L17" i="9"/>
  <c r="O12" i="9"/>
  <c r="O11" i="9" s="1"/>
  <c r="L11" i="9"/>
  <c r="Y19" i="9"/>
  <c r="V17" i="9"/>
  <c r="Y24" i="9"/>
  <c r="Z24" i="9" s="1"/>
  <c r="T24" i="9" s="1"/>
  <c r="O20" i="9"/>
  <c r="Q13" i="9"/>
  <c r="O15" i="9"/>
  <c r="O54" i="9"/>
  <c r="O52" i="9"/>
  <c r="O30" i="9"/>
  <c r="O27" i="9"/>
  <c r="Y25" i="8"/>
  <c r="Z25" i="8" s="1"/>
  <c r="T25" i="8" s="1"/>
  <c r="Y55" i="8"/>
  <c r="Z55" i="8" s="1"/>
  <c r="T55" i="8" s="1"/>
  <c r="Y53" i="8"/>
  <c r="Z53" i="8" s="1"/>
  <c r="T53" i="8" s="1"/>
  <c r="Y34" i="8"/>
  <c r="Z34" i="8" s="1"/>
  <c r="T34" i="8" s="1"/>
  <c r="Y26" i="8"/>
  <c r="Z26" i="8" s="1"/>
  <c r="T26" i="8" s="1"/>
  <c r="Y23" i="8"/>
  <c r="Z23" i="8" s="1"/>
  <c r="T23" i="8" s="1"/>
  <c r="Y36" i="8"/>
  <c r="Z36" i="8" s="1"/>
  <c r="T36" i="8" s="1"/>
  <c r="S12" i="8"/>
  <c r="S11" i="8" s="1"/>
  <c r="P11" i="8"/>
  <c r="V17" i="8"/>
  <c r="O35" i="8"/>
  <c r="O29" i="8"/>
  <c r="O16" i="8"/>
  <c r="Y16" i="8" s="1"/>
  <c r="Z16" i="8" s="1"/>
  <c r="R48" i="8"/>
  <c r="O54" i="8"/>
  <c r="O52" i="8"/>
  <c r="S30" i="8"/>
  <c r="S27" i="8"/>
  <c r="S22" i="8"/>
  <c r="O49" i="8"/>
  <c r="L48" i="8"/>
  <c r="N17" i="8"/>
  <c r="N13" i="8"/>
  <c r="S52" i="8"/>
  <c r="O12" i="8"/>
  <c r="O11" i="8" s="1"/>
  <c r="O14" i="8"/>
  <c r="Y14" i="8" s="1"/>
  <c r="L13" i="8"/>
  <c r="S49" i="8"/>
  <c r="P48" i="8"/>
  <c r="O38" i="8"/>
  <c r="Q13" i="8"/>
  <c r="R13" i="8"/>
  <c r="Y42" i="8"/>
  <c r="Z42" i="8" s="1"/>
  <c r="T42" i="8" s="1"/>
  <c r="O33" i="8"/>
  <c r="M17" i="8"/>
  <c r="M57" i="8" s="1"/>
  <c r="Y43" i="8"/>
  <c r="Z43" i="8" s="1"/>
  <c r="T43" i="8" s="1"/>
  <c r="S14" i="8"/>
  <c r="S13" i="8" s="1"/>
  <c r="T39" i="8"/>
  <c r="O20" i="8"/>
  <c r="L17" i="8"/>
  <c r="V13" i="8"/>
  <c r="O45" i="8"/>
  <c r="N48" i="8"/>
  <c r="O15" i="8"/>
  <c r="Y44" i="8"/>
  <c r="Z44" i="8" s="1"/>
  <c r="T44" i="8" s="1"/>
  <c r="S33" i="8"/>
  <c r="O30" i="8"/>
  <c r="O27" i="8"/>
  <c r="O22" i="8"/>
  <c r="Q17" i="8"/>
  <c r="O19" i="8"/>
  <c r="Y19" i="8" s="1"/>
  <c r="P13" i="8"/>
  <c r="Y54" i="7"/>
  <c r="Z54" i="7" s="1"/>
  <c r="T54" i="7" s="1"/>
  <c r="Y16" i="7"/>
  <c r="Z16" i="7" s="1"/>
  <c r="T16" i="7" s="1"/>
  <c r="S19" i="7"/>
  <c r="P17" i="7"/>
  <c r="S12" i="7"/>
  <c r="S11" i="7" s="1"/>
  <c r="P11" i="7"/>
  <c r="O38" i="7"/>
  <c r="Y38" i="7" s="1"/>
  <c r="Z38" i="7" s="1"/>
  <c r="S39" i="7"/>
  <c r="O31" i="7"/>
  <c r="Y31" i="7" s="1"/>
  <c r="Z31" i="7" s="1"/>
  <c r="Y44" i="7"/>
  <c r="Z44" i="7" s="1"/>
  <c r="T44" i="7" s="1"/>
  <c r="O33" i="7"/>
  <c r="Q48" i="7"/>
  <c r="S14" i="7"/>
  <c r="S13" i="7" s="1"/>
  <c r="O14" i="7"/>
  <c r="Y14" i="7" s="1"/>
  <c r="L13" i="7"/>
  <c r="V13" i="7"/>
  <c r="N13" i="7"/>
  <c r="Y42" i="7"/>
  <c r="Z42" i="7" s="1"/>
  <c r="T42" i="7" s="1"/>
  <c r="S33" i="7"/>
  <c r="O27" i="7"/>
  <c r="M17" i="7"/>
  <c r="O35" i="7"/>
  <c r="N48" i="7"/>
  <c r="Y43" i="7"/>
  <c r="Z43" i="7" s="1"/>
  <c r="T43" i="7" s="1"/>
  <c r="Y21" i="7"/>
  <c r="Z21" i="7" s="1"/>
  <c r="T21" i="7" s="1"/>
  <c r="Y26" i="7"/>
  <c r="Z26" i="7" s="1"/>
  <c r="T26" i="7" s="1"/>
  <c r="O25" i="7"/>
  <c r="Y25" i="7" s="1"/>
  <c r="Z25" i="7" s="1"/>
  <c r="O23" i="7"/>
  <c r="Y23" i="7" s="1"/>
  <c r="Z23" i="7" s="1"/>
  <c r="R13" i="7"/>
  <c r="R57" i="7" s="1"/>
  <c r="S52" i="7"/>
  <c r="O30" i="7"/>
  <c r="S27" i="7"/>
  <c r="O22" i="7"/>
  <c r="Q17" i="7"/>
  <c r="Q57" i="7" s="1"/>
  <c r="Y49" i="7"/>
  <c r="T52" i="7"/>
  <c r="O19" i="7"/>
  <c r="Y19" i="7" s="1"/>
  <c r="Z19" i="7" s="1"/>
  <c r="L17" i="7"/>
  <c r="O12" i="7"/>
  <c r="O11" i="7" s="1"/>
  <c r="L11" i="7"/>
  <c r="V17" i="7"/>
  <c r="M48" i="7"/>
  <c r="O24" i="7"/>
  <c r="Y24" i="7" s="1"/>
  <c r="Z24" i="7" s="1"/>
  <c r="N17" i="7"/>
  <c r="O55" i="7"/>
  <c r="O48" i="7" s="1"/>
  <c r="O20" i="7"/>
  <c r="Y20" i="7" s="1"/>
  <c r="Z20" i="7" s="1"/>
  <c r="Y53" i="7"/>
  <c r="Z53" i="7" s="1"/>
  <c r="T53" i="7" s="1"/>
  <c r="L48" i="7"/>
  <c r="O39" i="7"/>
  <c r="Y39" i="7" s="1"/>
  <c r="Z39" i="7" s="1"/>
  <c r="O36" i="7"/>
  <c r="Y36" i="7" s="1"/>
  <c r="Z36" i="7" s="1"/>
  <c r="S25" i="7"/>
  <c r="O15" i="7"/>
  <c r="S30" i="7"/>
  <c r="S22" i="7"/>
  <c r="U57" i="6"/>
  <c r="H57" i="6"/>
  <c r="G57" i="6"/>
  <c r="W57" i="5"/>
  <c r="K13" i="6"/>
  <c r="K57" i="6" s="1"/>
  <c r="M15" i="6"/>
  <c r="D13" i="6"/>
  <c r="Q15" i="6"/>
  <c r="W57" i="6"/>
  <c r="E57" i="6"/>
  <c r="X57" i="6"/>
  <c r="L16" i="6"/>
  <c r="P16" i="6"/>
  <c r="N16" i="6"/>
  <c r="R16" i="6"/>
  <c r="M16" i="6"/>
  <c r="N15" i="6"/>
  <c r="R15" i="6"/>
  <c r="L15" i="6"/>
  <c r="F57" i="6"/>
  <c r="L55" i="6"/>
  <c r="Q55" i="6"/>
  <c r="P55" i="6"/>
  <c r="M55" i="6"/>
  <c r="Y32" i="6"/>
  <c r="Z32" i="6" s="1"/>
  <c r="S31" i="6"/>
  <c r="P11" i="6"/>
  <c r="S35" i="6"/>
  <c r="M14" i="6"/>
  <c r="Q14" i="6"/>
  <c r="V14" i="6"/>
  <c r="N19" i="6"/>
  <c r="R19" i="6"/>
  <c r="S19" i="6" s="1"/>
  <c r="L21" i="6"/>
  <c r="P21" i="6"/>
  <c r="M22" i="6"/>
  <c r="Q22" i="6"/>
  <c r="V22" i="6"/>
  <c r="N23" i="6"/>
  <c r="L24" i="6"/>
  <c r="P24" i="6"/>
  <c r="N25" i="6"/>
  <c r="O25" i="6" s="1"/>
  <c r="R25" i="6"/>
  <c r="S25" i="6" s="1"/>
  <c r="M27" i="6"/>
  <c r="Q27" i="6"/>
  <c r="V27" i="6"/>
  <c r="L29" i="6"/>
  <c r="P29" i="6"/>
  <c r="M30" i="6"/>
  <c r="Q30" i="6"/>
  <c r="S30" i="6" s="1"/>
  <c r="V30" i="6"/>
  <c r="N31" i="6"/>
  <c r="O31" i="6" s="1"/>
  <c r="Q34" i="6"/>
  <c r="V34" i="6"/>
  <c r="N35" i="6"/>
  <c r="L36" i="6"/>
  <c r="P36" i="6"/>
  <c r="N38" i="6"/>
  <c r="O38" i="6" s="1"/>
  <c r="L39" i="6"/>
  <c r="P39" i="6"/>
  <c r="L42" i="6"/>
  <c r="P42" i="6"/>
  <c r="N43" i="6"/>
  <c r="L44" i="6"/>
  <c r="P44" i="6"/>
  <c r="N45" i="6"/>
  <c r="L46" i="6"/>
  <c r="P46" i="6"/>
  <c r="L52" i="6"/>
  <c r="P52" i="6"/>
  <c r="N53" i="6"/>
  <c r="L54" i="6"/>
  <c r="P54" i="6"/>
  <c r="N55" i="6"/>
  <c r="N12" i="6"/>
  <c r="N11" i="6" s="1"/>
  <c r="R12" i="6"/>
  <c r="R11" i="6" s="1"/>
  <c r="P14" i="6"/>
  <c r="M19" i="6"/>
  <c r="N20" i="6"/>
  <c r="R20" i="6"/>
  <c r="P22" i="6"/>
  <c r="N26" i="6"/>
  <c r="R26" i="6"/>
  <c r="N28" i="6"/>
  <c r="R28" i="6"/>
  <c r="N33" i="6"/>
  <c r="R33" i="6"/>
  <c r="N49" i="6"/>
  <c r="R49" i="6"/>
  <c r="Q12" i="6"/>
  <c r="Q11" i="6" s="1"/>
  <c r="N21" i="6"/>
  <c r="R21" i="6"/>
  <c r="N24" i="6"/>
  <c r="R24" i="6"/>
  <c r="N29" i="6"/>
  <c r="R29" i="6"/>
  <c r="N36" i="6"/>
  <c r="R36" i="6"/>
  <c r="N39" i="6"/>
  <c r="R39" i="6"/>
  <c r="N42" i="6"/>
  <c r="R42" i="6"/>
  <c r="N44" i="6"/>
  <c r="R44" i="6"/>
  <c r="N46" i="6"/>
  <c r="R46" i="6"/>
  <c r="M49" i="6"/>
  <c r="Q49" i="6"/>
  <c r="N52" i="6"/>
  <c r="R52" i="6"/>
  <c r="N54" i="6"/>
  <c r="R54" i="6"/>
  <c r="L12" i="6"/>
  <c r="N14" i="6"/>
  <c r="L20" i="6"/>
  <c r="M21" i="6"/>
  <c r="N22" i="6"/>
  <c r="M24" i="6"/>
  <c r="L26" i="6"/>
  <c r="N27" i="6"/>
  <c r="L28" i="6"/>
  <c r="M29" i="6"/>
  <c r="N30" i="6"/>
  <c r="L33" i="6"/>
  <c r="N34" i="6"/>
  <c r="M36" i="6"/>
  <c r="M39" i="6"/>
  <c r="M42" i="6"/>
  <c r="M44" i="6"/>
  <c r="M46" i="6"/>
  <c r="L49" i="6"/>
  <c r="M52" i="6"/>
  <c r="M54" i="6"/>
  <c r="Z32" i="5"/>
  <c r="S40" i="5"/>
  <c r="P11" i="5"/>
  <c r="S55" i="5"/>
  <c r="S31" i="5"/>
  <c r="M14" i="5"/>
  <c r="M13" i="5" s="1"/>
  <c r="Q14" i="5"/>
  <c r="Q13" i="5" s="1"/>
  <c r="L18" i="5"/>
  <c r="P18" i="5"/>
  <c r="N19" i="5"/>
  <c r="O19" i="5" s="1"/>
  <c r="L21" i="5"/>
  <c r="P21" i="5"/>
  <c r="M22" i="5"/>
  <c r="Q22" i="5"/>
  <c r="S22" i="5" s="1"/>
  <c r="N23" i="5"/>
  <c r="O23" i="5" s="1"/>
  <c r="L24" i="5"/>
  <c r="P24" i="5"/>
  <c r="N25" i="5"/>
  <c r="M27" i="5"/>
  <c r="Q27" i="5"/>
  <c r="S27" i="5" s="1"/>
  <c r="L29" i="5"/>
  <c r="P29" i="5"/>
  <c r="M30" i="5"/>
  <c r="Q30" i="5"/>
  <c r="N31" i="5"/>
  <c r="O31" i="5" s="1"/>
  <c r="M34" i="5"/>
  <c r="Q34" i="5"/>
  <c r="N35" i="5"/>
  <c r="L36" i="5"/>
  <c r="P36" i="5"/>
  <c r="N38" i="5"/>
  <c r="O38" i="5" s="1"/>
  <c r="L39" i="5"/>
  <c r="P39" i="5"/>
  <c r="O40" i="5"/>
  <c r="Y40" i="5" s="1"/>
  <c r="Z40" i="5" s="1"/>
  <c r="L42" i="5"/>
  <c r="P42" i="5"/>
  <c r="N43" i="5"/>
  <c r="O43" i="5" s="1"/>
  <c r="L44" i="5"/>
  <c r="P44" i="5"/>
  <c r="N45" i="5"/>
  <c r="O45" i="5" s="1"/>
  <c r="Y45" i="5" s="1"/>
  <c r="Z45" i="5" s="1"/>
  <c r="L46" i="5"/>
  <c r="P46" i="5"/>
  <c r="L52" i="5"/>
  <c r="P52" i="5"/>
  <c r="N53" i="5"/>
  <c r="O53" i="5" s="1"/>
  <c r="L54" i="5"/>
  <c r="P54" i="5"/>
  <c r="N55" i="5"/>
  <c r="N20" i="5"/>
  <c r="R20" i="5"/>
  <c r="N26" i="5"/>
  <c r="R26" i="5"/>
  <c r="N28" i="5"/>
  <c r="R28" i="5"/>
  <c r="N33" i="5"/>
  <c r="R33" i="5"/>
  <c r="N49" i="5"/>
  <c r="R49" i="5"/>
  <c r="M12" i="5"/>
  <c r="M11" i="5" s="1"/>
  <c r="Q12" i="5"/>
  <c r="Q11" i="5" s="1"/>
  <c r="P13" i="5"/>
  <c r="K17" i="5"/>
  <c r="N18" i="5"/>
  <c r="R18" i="5"/>
  <c r="M20" i="5"/>
  <c r="Q20" i="5"/>
  <c r="N21" i="5"/>
  <c r="R21" i="5"/>
  <c r="N24" i="5"/>
  <c r="R24" i="5"/>
  <c r="M26" i="5"/>
  <c r="Q26" i="5"/>
  <c r="S26" i="5" s="1"/>
  <c r="M28" i="5"/>
  <c r="Q28" i="5"/>
  <c r="N29" i="5"/>
  <c r="R29" i="5"/>
  <c r="M33" i="5"/>
  <c r="Q33" i="5"/>
  <c r="N36" i="5"/>
  <c r="R36" i="5"/>
  <c r="N39" i="5"/>
  <c r="R39" i="5"/>
  <c r="N42" i="5"/>
  <c r="R42" i="5"/>
  <c r="N44" i="5"/>
  <c r="R44" i="5"/>
  <c r="N46" i="5"/>
  <c r="R46" i="5"/>
  <c r="M49" i="5"/>
  <c r="Q49" i="5"/>
  <c r="N52" i="5"/>
  <c r="R52" i="5"/>
  <c r="N54" i="5"/>
  <c r="R54" i="5"/>
  <c r="L12" i="5"/>
  <c r="N14" i="5"/>
  <c r="N13" i="5" s="1"/>
  <c r="M18" i="5"/>
  <c r="L20" i="5"/>
  <c r="M21" i="5"/>
  <c r="N22" i="5"/>
  <c r="M24" i="5"/>
  <c r="L26" i="5"/>
  <c r="N27" i="5"/>
  <c r="L28" i="5"/>
  <c r="M29" i="5"/>
  <c r="N30" i="5"/>
  <c r="L33" i="5"/>
  <c r="N34" i="5"/>
  <c r="M36" i="5"/>
  <c r="M39" i="5"/>
  <c r="M42" i="5"/>
  <c r="M44" i="5"/>
  <c r="M46" i="5"/>
  <c r="L49" i="5"/>
  <c r="N50" i="5"/>
  <c r="M52" i="5"/>
  <c r="M54" i="5"/>
  <c r="K46" i="4"/>
  <c r="D46" i="4"/>
  <c r="P46" i="4" s="1"/>
  <c r="K45" i="4"/>
  <c r="D45" i="4"/>
  <c r="R45" i="4" s="1"/>
  <c r="K44" i="4"/>
  <c r="V44" i="4" s="1"/>
  <c r="D44" i="4"/>
  <c r="Q44" i="4" s="1"/>
  <c r="K43" i="4"/>
  <c r="V43" i="4" s="1"/>
  <c r="D43" i="4"/>
  <c r="R43" i="4" s="1"/>
  <c r="S13" i="12" l="1"/>
  <c r="S50" i="12"/>
  <c r="M59" i="12"/>
  <c r="S17" i="11"/>
  <c r="S59" i="11" s="1"/>
  <c r="Y19" i="11"/>
  <c r="Z19" i="11" s="1"/>
  <c r="O17" i="11"/>
  <c r="T45" i="11"/>
  <c r="M59" i="11"/>
  <c r="R59" i="11"/>
  <c r="Q59" i="11"/>
  <c r="T36" i="10"/>
  <c r="T42" i="10"/>
  <c r="T34" i="10"/>
  <c r="S13" i="10"/>
  <c r="Y29" i="7"/>
  <c r="Z29" i="7" s="1"/>
  <c r="T29" i="7" s="1"/>
  <c r="S42" i="5"/>
  <c r="S30" i="5"/>
  <c r="S53" i="5"/>
  <c r="S48" i="8"/>
  <c r="S19" i="5"/>
  <c r="T55" i="10"/>
  <c r="S26" i="6"/>
  <c r="T24" i="8"/>
  <c r="O50" i="5"/>
  <c r="Y50" i="5" s="1"/>
  <c r="Z50" i="5" s="1"/>
  <c r="T50" i="5" s="1"/>
  <c r="D57" i="5"/>
  <c r="T55" i="11"/>
  <c r="O35" i="5"/>
  <c r="Y35" i="5" s="1"/>
  <c r="Z35" i="5" s="1"/>
  <c r="Q59" i="10"/>
  <c r="S38" i="6"/>
  <c r="S45" i="6"/>
  <c r="T39" i="11"/>
  <c r="N59" i="12"/>
  <c r="S23" i="6"/>
  <c r="P48" i="5"/>
  <c r="L48" i="6"/>
  <c r="M48" i="6"/>
  <c r="R57" i="8"/>
  <c r="N57" i="8"/>
  <c r="N57" i="9"/>
  <c r="M59" i="10"/>
  <c r="L59" i="10"/>
  <c r="O53" i="6"/>
  <c r="N48" i="5"/>
  <c r="S53" i="6"/>
  <c r="M48" i="5"/>
  <c r="Q48" i="6"/>
  <c r="N48" i="6"/>
  <c r="S20" i="6"/>
  <c r="L57" i="7"/>
  <c r="M57" i="9"/>
  <c r="L48" i="5"/>
  <c r="Q48" i="5"/>
  <c r="R48" i="5"/>
  <c r="O34" i="6"/>
  <c r="R48" i="6"/>
  <c r="N57" i="7"/>
  <c r="S48" i="7"/>
  <c r="V57" i="8"/>
  <c r="Y25" i="9"/>
  <c r="Z25" i="9" s="1"/>
  <c r="T25" i="9" s="1"/>
  <c r="T21" i="11"/>
  <c r="T25" i="12"/>
  <c r="S23" i="5"/>
  <c r="P48" i="6"/>
  <c r="Z56" i="5"/>
  <c r="O26" i="6"/>
  <c r="Y26" i="6" s="1"/>
  <c r="Z26" i="6" s="1"/>
  <c r="O35" i="6"/>
  <c r="O33" i="6"/>
  <c r="Y33" i="6" s="1"/>
  <c r="Z33" i="6" s="1"/>
  <c r="S55" i="6"/>
  <c r="O43" i="6"/>
  <c r="O23" i="6"/>
  <c r="Y23" i="6" s="1"/>
  <c r="Z23" i="6" s="1"/>
  <c r="T23" i="6" s="1"/>
  <c r="S28" i="6"/>
  <c r="S43" i="6"/>
  <c r="Q13" i="6"/>
  <c r="S38" i="5"/>
  <c r="O25" i="5"/>
  <c r="Y25" i="5" s="1"/>
  <c r="Z25" i="5" s="1"/>
  <c r="O26" i="5"/>
  <c r="Y26" i="5" s="1"/>
  <c r="Z26" i="5" s="1"/>
  <c r="S33" i="5"/>
  <c r="S34" i="5"/>
  <c r="O30" i="5"/>
  <c r="O27" i="5"/>
  <c r="Y29" i="11"/>
  <c r="Z29" i="11" s="1"/>
  <c r="T29" i="11" s="1"/>
  <c r="Q17" i="5"/>
  <c r="S17" i="8"/>
  <c r="S57" i="8" s="1"/>
  <c r="T31" i="8"/>
  <c r="T16" i="9"/>
  <c r="R59" i="12"/>
  <c r="S29" i="6"/>
  <c r="L59" i="12"/>
  <c r="O20" i="5"/>
  <c r="S28" i="5"/>
  <c r="O28" i="6"/>
  <c r="Y28" i="6" s="1"/>
  <c r="Z28" i="6" s="1"/>
  <c r="S34" i="6"/>
  <c r="O55" i="5"/>
  <c r="Y55" i="5" s="1"/>
  <c r="Z55" i="5" s="1"/>
  <c r="T55" i="5" s="1"/>
  <c r="S52" i="5"/>
  <c r="O22" i="5"/>
  <c r="Y22" i="5" s="1"/>
  <c r="Z22" i="5" s="1"/>
  <c r="T22" i="5" s="1"/>
  <c r="O19" i="6"/>
  <c r="S52" i="6"/>
  <c r="O45" i="6"/>
  <c r="V17" i="6"/>
  <c r="V13" i="6"/>
  <c r="T46" i="7"/>
  <c r="Q57" i="9"/>
  <c r="R57" i="9"/>
  <c r="N59" i="10"/>
  <c r="N59" i="11"/>
  <c r="Q59" i="12"/>
  <c r="D57" i="6"/>
  <c r="K57" i="5"/>
  <c r="S54" i="6"/>
  <c r="S27" i="6"/>
  <c r="Q17" i="6"/>
  <c r="P13" i="6"/>
  <c r="S46" i="5"/>
  <c r="S36" i="5"/>
  <c r="O34" i="5"/>
  <c r="Y34" i="5" s="1"/>
  <c r="Z34" i="5" s="1"/>
  <c r="T34" i="5" s="1"/>
  <c r="S33" i="6"/>
  <c r="O29" i="6"/>
  <c r="Y29" i="6" s="1"/>
  <c r="Z29" i="6" s="1"/>
  <c r="T29" i="6" s="1"/>
  <c r="S21" i="6"/>
  <c r="L13" i="6"/>
  <c r="M57" i="7"/>
  <c r="S13" i="9"/>
  <c r="R59" i="10"/>
  <c r="V59" i="10"/>
  <c r="P59" i="10"/>
  <c r="P59" i="12"/>
  <c r="O13" i="12"/>
  <c r="Y42" i="12"/>
  <c r="Z42" i="12" s="1"/>
  <c r="T42" i="12" s="1"/>
  <c r="Y23" i="12"/>
  <c r="Z23" i="12" s="1"/>
  <c r="T23" i="12" s="1"/>
  <c r="T38" i="12"/>
  <c r="Y36" i="12"/>
  <c r="Z36" i="12" s="1"/>
  <c r="T36" i="12" s="1"/>
  <c r="O17" i="12"/>
  <c r="Y19" i="12"/>
  <c r="V59" i="12"/>
  <c r="T45" i="12"/>
  <c r="O50" i="12"/>
  <c r="Y51" i="12"/>
  <c r="Y22" i="12"/>
  <c r="Z22" i="12" s="1"/>
  <c r="T22" i="12" s="1"/>
  <c r="S17" i="12"/>
  <c r="Y14" i="12"/>
  <c r="T21" i="12"/>
  <c r="Y30" i="11"/>
  <c r="Z30" i="11" s="1"/>
  <c r="T30" i="11" s="1"/>
  <c r="Y33" i="11"/>
  <c r="Z33" i="11" s="1"/>
  <c r="T33" i="11" s="1"/>
  <c r="Y22" i="11"/>
  <c r="Z22" i="11" s="1"/>
  <c r="T22" i="11" s="1"/>
  <c r="Y54" i="11"/>
  <c r="P59" i="11"/>
  <c r="L59" i="11"/>
  <c r="Y27" i="11"/>
  <c r="Z27" i="11" s="1"/>
  <c r="T27" i="11" s="1"/>
  <c r="Y35" i="11"/>
  <c r="Z35" i="11" s="1"/>
  <c r="T35" i="11" s="1"/>
  <c r="Y51" i="11"/>
  <c r="Y16" i="11"/>
  <c r="Z16" i="11" s="1"/>
  <c r="T16" i="11" s="1"/>
  <c r="Y43" i="11"/>
  <c r="Z43" i="11" s="1"/>
  <c r="T43" i="11" s="1"/>
  <c r="Y14" i="11"/>
  <c r="O13" i="11"/>
  <c r="Y56" i="11"/>
  <c r="Z56" i="11" s="1"/>
  <c r="T56" i="11" s="1"/>
  <c r="Y24" i="11"/>
  <c r="Z24" i="11" s="1"/>
  <c r="T24" i="11" s="1"/>
  <c r="Y21" i="10"/>
  <c r="Z21" i="10" s="1"/>
  <c r="T21" i="10" s="1"/>
  <c r="Y45" i="10"/>
  <c r="Z45" i="10" s="1"/>
  <c r="T45" i="10" s="1"/>
  <c r="Y25" i="10"/>
  <c r="Z25" i="10" s="1"/>
  <c r="T25" i="10" s="1"/>
  <c r="Y43" i="10"/>
  <c r="Z43" i="10" s="1"/>
  <c r="T43" i="10" s="1"/>
  <c r="O17" i="10"/>
  <c r="Y54" i="10"/>
  <c r="Z54" i="10" s="1"/>
  <c r="T54" i="10" s="1"/>
  <c r="T15" i="10"/>
  <c r="Y29" i="10"/>
  <c r="Z29" i="10" s="1"/>
  <c r="T29" i="10" s="1"/>
  <c r="Y13" i="10"/>
  <c r="Z14" i="10"/>
  <c r="Z13" i="10" s="1"/>
  <c r="S17" i="10"/>
  <c r="Y24" i="10"/>
  <c r="Z24" i="10" s="1"/>
  <c r="T24" i="10" s="1"/>
  <c r="O50" i="10"/>
  <c r="Y51" i="10"/>
  <c r="O13" i="10"/>
  <c r="T31" i="10"/>
  <c r="S50" i="10"/>
  <c r="T23" i="10"/>
  <c r="Y19" i="10"/>
  <c r="Y30" i="9"/>
  <c r="Z30" i="9" s="1"/>
  <c r="T30" i="9" s="1"/>
  <c r="Y33" i="9"/>
  <c r="Z33" i="9" s="1"/>
  <c r="T33" i="9" s="1"/>
  <c r="O48" i="9"/>
  <c r="Y49" i="9"/>
  <c r="O13" i="9"/>
  <c r="L57" i="9"/>
  <c r="Y15" i="9"/>
  <c r="Z15" i="9" s="1"/>
  <c r="T15" i="9" s="1"/>
  <c r="S17" i="9"/>
  <c r="Y27" i="9"/>
  <c r="Z27" i="9" s="1"/>
  <c r="T27" i="9" s="1"/>
  <c r="Y54" i="9"/>
  <c r="Z54" i="9" s="1"/>
  <c r="T54" i="9" s="1"/>
  <c r="Z19" i="9"/>
  <c r="T19" i="9" s="1"/>
  <c r="O17" i="9"/>
  <c r="O57" i="9" s="1"/>
  <c r="Y52" i="9"/>
  <c r="Z52" i="9" s="1"/>
  <c r="T52" i="9" s="1"/>
  <c r="Y45" i="9"/>
  <c r="Z45" i="9" s="1"/>
  <c r="T45" i="9" s="1"/>
  <c r="V57" i="9"/>
  <c r="Y26" i="9"/>
  <c r="Z26" i="9" s="1"/>
  <c r="T26" i="9" s="1"/>
  <c r="Z14" i="9"/>
  <c r="Y20" i="9"/>
  <c r="Z20" i="9" s="1"/>
  <c r="T20" i="9" s="1"/>
  <c r="S48" i="9"/>
  <c r="P57" i="9"/>
  <c r="O17" i="8"/>
  <c r="Y30" i="8"/>
  <c r="Z30" i="8" s="1"/>
  <c r="T30" i="8" s="1"/>
  <c r="L57" i="8"/>
  <c r="Y33" i="8"/>
  <c r="Z33" i="8" s="1"/>
  <c r="T33" i="8" s="1"/>
  <c r="Y54" i="8"/>
  <c r="Z54" i="8" s="1"/>
  <c r="T54" i="8" s="1"/>
  <c r="Y35" i="8"/>
  <c r="Z35" i="8" s="1"/>
  <c r="T35" i="8" s="1"/>
  <c r="Y15" i="8"/>
  <c r="Z15" i="8" s="1"/>
  <c r="T15" i="8" s="1"/>
  <c r="Y22" i="8"/>
  <c r="Z22" i="8" s="1"/>
  <c r="T22" i="8" s="1"/>
  <c r="Z14" i="8"/>
  <c r="Y52" i="8"/>
  <c r="Z52" i="8" s="1"/>
  <c r="T52" i="8" s="1"/>
  <c r="Y29" i="8"/>
  <c r="Z29" i="8" s="1"/>
  <c r="T29" i="8" s="1"/>
  <c r="Q57" i="8"/>
  <c r="P57" i="8"/>
  <c r="Y27" i="8"/>
  <c r="Z27" i="8" s="1"/>
  <c r="T27" i="8" s="1"/>
  <c r="Y45" i="8"/>
  <c r="Z45" i="8" s="1"/>
  <c r="T45" i="8" s="1"/>
  <c r="Y20" i="8"/>
  <c r="Z20" i="8" s="1"/>
  <c r="T20" i="8" s="1"/>
  <c r="Y38" i="8"/>
  <c r="Z38" i="8" s="1"/>
  <c r="T38" i="8" s="1"/>
  <c r="O13" i="8"/>
  <c r="O48" i="8"/>
  <c r="Y49" i="8"/>
  <c r="Z19" i="8"/>
  <c r="T19" i="8" s="1"/>
  <c r="T16" i="8"/>
  <c r="Z14" i="7"/>
  <c r="T14" i="7" s="1"/>
  <c r="Y27" i="7"/>
  <c r="Z27" i="7" s="1"/>
  <c r="T27" i="7" s="1"/>
  <c r="Y55" i="7"/>
  <c r="Z55" i="7" s="1"/>
  <c r="T55" i="7" s="1"/>
  <c r="Y35" i="7"/>
  <c r="Z35" i="7" s="1"/>
  <c r="T35" i="7" s="1"/>
  <c r="V57" i="7"/>
  <c r="Z49" i="7"/>
  <c r="Y33" i="7"/>
  <c r="Z33" i="7" s="1"/>
  <c r="T33" i="7" s="1"/>
  <c r="T39" i="7"/>
  <c r="P57" i="7"/>
  <c r="Y22" i="7"/>
  <c r="Z22" i="7" s="1"/>
  <c r="T22" i="7" s="1"/>
  <c r="O13" i="7"/>
  <c r="T36" i="7"/>
  <c r="T20" i="7"/>
  <c r="T24" i="7"/>
  <c r="T25" i="7"/>
  <c r="Y15" i="7"/>
  <c r="Z15" i="7" s="1"/>
  <c r="T15" i="7" s="1"/>
  <c r="T38" i="7"/>
  <c r="S17" i="7"/>
  <c r="S57" i="7" s="1"/>
  <c r="T19" i="7"/>
  <c r="O17" i="7"/>
  <c r="Y30" i="7"/>
  <c r="Z30" i="7" s="1"/>
  <c r="T30" i="7" s="1"/>
  <c r="T23" i="7"/>
  <c r="T31" i="7"/>
  <c r="N13" i="6"/>
  <c r="O16" i="6"/>
  <c r="Y16" i="6" s="1"/>
  <c r="Z16" i="6" s="1"/>
  <c r="T16" i="6" s="1"/>
  <c r="M13" i="6"/>
  <c r="S15" i="6"/>
  <c r="R13" i="6"/>
  <c r="S16" i="6"/>
  <c r="O15" i="6"/>
  <c r="Y15" i="6" s="1"/>
  <c r="Z15" i="6" s="1"/>
  <c r="O55" i="6"/>
  <c r="Y45" i="6"/>
  <c r="Z45" i="6" s="1"/>
  <c r="T45" i="6" s="1"/>
  <c r="Y35" i="6"/>
  <c r="Z35" i="6" s="1"/>
  <c r="Y43" i="6"/>
  <c r="Z43" i="6" s="1"/>
  <c r="T43" i="6" s="1"/>
  <c r="Y31" i="6"/>
  <c r="Z31" i="6" s="1"/>
  <c r="T31" i="6" s="1"/>
  <c r="Y19" i="6"/>
  <c r="Z19" i="6" s="1"/>
  <c r="Y55" i="6"/>
  <c r="Z55" i="6" s="1"/>
  <c r="T55" i="6" s="1"/>
  <c r="Y40" i="6"/>
  <c r="Z40" i="6" s="1"/>
  <c r="Y38" i="6"/>
  <c r="Z38" i="6" s="1"/>
  <c r="T38" i="6" s="1"/>
  <c r="O49" i="6"/>
  <c r="R17" i="6"/>
  <c r="O20" i="6"/>
  <c r="O54" i="6"/>
  <c r="O52" i="6"/>
  <c r="S46" i="6"/>
  <c r="S44" i="6"/>
  <c r="S42" i="6"/>
  <c r="S39" i="6"/>
  <c r="S36" i="6"/>
  <c r="O30" i="6"/>
  <c r="T26" i="6"/>
  <c r="S12" i="6"/>
  <c r="S11" i="6" s="1"/>
  <c r="S49" i="6"/>
  <c r="L17" i="6"/>
  <c r="N17" i="6"/>
  <c r="Y34" i="6"/>
  <c r="Z34" i="6" s="1"/>
  <c r="T34" i="6" s="1"/>
  <c r="O24" i="6"/>
  <c r="O22" i="6"/>
  <c r="Y22" i="6" s="1"/>
  <c r="Z22" i="6" s="1"/>
  <c r="T33" i="6"/>
  <c r="S14" i="6"/>
  <c r="P17" i="6"/>
  <c r="O14" i="6"/>
  <c r="Y30" i="6"/>
  <c r="Z30" i="6" s="1"/>
  <c r="O27" i="6"/>
  <c r="Y27" i="6" s="1"/>
  <c r="Z27" i="6" s="1"/>
  <c r="S24" i="6"/>
  <c r="O21" i="6"/>
  <c r="Y53" i="6"/>
  <c r="Z53" i="6" s="1"/>
  <c r="T53" i="6" s="1"/>
  <c r="Y25" i="6"/>
  <c r="Z25" i="6" s="1"/>
  <c r="T25" i="6" s="1"/>
  <c r="L11" i="6"/>
  <c r="O12" i="6"/>
  <c r="O11" i="6" s="1"/>
  <c r="M17" i="6"/>
  <c r="S22" i="6"/>
  <c r="O46" i="6"/>
  <c r="O44" i="6"/>
  <c r="O42" i="6"/>
  <c r="O39" i="6"/>
  <c r="O36" i="6"/>
  <c r="Y43" i="5"/>
  <c r="Z43" i="5" s="1"/>
  <c r="T43" i="5" s="1"/>
  <c r="Y53" i="5"/>
  <c r="Z53" i="5" s="1"/>
  <c r="T53" i="5" s="1"/>
  <c r="Y19" i="5"/>
  <c r="Z19" i="5" s="1"/>
  <c r="T19" i="5" s="1"/>
  <c r="Y38" i="5"/>
  <c r="Z38" i="5" s="1"/>
  <c r="T38" i="5" s="1"/>
  <c r="Y30" i="5"/>
  <c r="Z30" i="5" s="1"/>
  <c r="T30" i="5" s="1"/>
  <c r="Y27" i="5"/>
  <c r="Z27" i="5" s="1"/>
  <c r="T27" i="5" s="1"/>
  <c r="Y23" i="5"/>
  <c r="Z23" i="5" s="1"/>
  <c r="T23" i="5" s="1"/>
  <c r="L11" i="5"/>
  <c r="O12" i="5"/>
  <c r="O11" i="5" s="1"/>
  <c r="S18" i="5"/>
  <c r="P17" i="5"/>
  <c r="S24" i="5"/>
  <c r="T26" i="5"/>
  <c r="Y20" i="5"/>
  <c r="Z20" i="5" s="1"/>
  <c r="T20" i="5" s="1"/>
  <c r="O33" i="5"/>
  <c r="Q57" i="5"/>
  <c r="O28" i="5"/>
  <c r="R17" i="5"/>
  <c r="O54" i="5"/>
  <c r="O52" i="5"/>
  <c r="O46" i="5"/>
  <c r="O44" i="5"/>
  <c r="O42" i="5"/>
  <c r="O39" i="5"/>
  <c r="O36" i="5"/>
  <c r="S29" i="5"/>
  <c r="S21" i="5"/>
  <c r="S20" i="5"/>
  <c r="S49" i="5"/>
  <c r="S48" i="5" s="1"/>
  <c r="M17" i="5"/>
  <c r="S54" i="5"/>
  <c r="S44" i="5"/>
  <c r="S39" i="5"/>
  <c r="O24" i="5"/>
  <c r="T40" i="5"/>
  <c r="T45" i="5"/>
  <c r="T35" i="5"/>
  <c r="S14" i="5"/>
  <c r="S13" i="5" s="1"/>
  <c r="O49" i="5"/>
  <c r="O18" i="5"/>
  <c r="L17" i="5"/>
  <c r="O14" i="5"/>
  <c r="N17" i="5"/>
  <c r="O29" i="5"/>
  <c r="O21" i="5"/>
  <c r="S12" i="5"/>
  <c r="S11" i="5" s="1"/>
  <c r="Y31" i="5"/>
  <c r="Z31" i="5" s="1"/>
  <c r="T31" i="5" s="1"/>
  <c r="T25" i="5"/>
  <c r="M43" i="4"/>
  <c r="P45" i="4"/>
  <c r="P44" i="4"/>
  <c r="L45" i="4"/>
  <c r="M45" i="4"/>
  <c r="Q43" i="4"/>
  <c r="L44" i="4"/>
  <c r="Q45" i="4"/>
  <c r="N46" i="4"/>
  <c r="M46" i="4"/>
  <c r="Q46" i="4"/>
  <c r="V46" i="4"/>
  <c r="R46" i="4"/>
  <c r="L46" i="4"/>
  <c r="V45" i="4"/>
  <c r="N45" i="4"/>
  <c r="R44" i="4"/>
  <c r="N44" i="4"/>
  <c r="M44" i="4"/>
  <c r="L43" i="4"/>
  <c r="P43" i="4"/>
  <c r="N43" i="4"/>
  <c r="S59" i="12" l="1"/>
  <c r="Z54" i="11"/>
  <c r="Y50" i="11"/>
  <c r="S59" i="10"/>
  <c r="Z13" i="8"/>
  <c r="Y17" i="7"/>
  <c r="Y13" i="9"/>
  <c r="T35" i="6"/>
  <c r="Q57" i="6"/>
  <c r="O48" i="5"/>
  <c r="T19" i="6"/>
  <c r="O48" i="6"/>
  <c r="Y13" i="8"/>
  <c r="S57" i="9"/>
  <c r="O59" i="11"/>
  <c r="P57" i="6"/>
  <c r="S48" i="6"/>
  <c r="O57" i="8"/>
  <c r="O59" i="12"/>
  <c r="T56" i="5"/>
  <c r="Y48" i="7"/>
  <c r="T17" i="9"/>
  <c r="R57" i="5"/>
  <c r="O13" i="6"/>
  <c r="Z13" i="9"/>
  <c r="T17" i="8"/>
  <c r="T28" i="6"/>
  <c r="M57" i="5"/>
  <c r="P57" i="5"/>
  <c r="O57" i="7"/>
  <c r="O59" i="10"/>
  <c r="Z19" i="12"/>
  <c r="Y17" i="12"/>
  <c r="Y13" i="12"/>
  <c r="Z14" i="12"/>
  <c r="Z51" i="12"/>
  <c r="Y50" i="12"/>
  <c r="Z17" i="11"/>
  <c r="T19" i="11"/>
  <c r="T17" i="11" s="1"/>
  <c r="Y13" i="11"/>
  <c r="Z14" i="11"/>
  <c r="Z51" i="11"/>
  <c r="Y17" i="11"/>
  <c r="Z19" i="10"/>
  <c r="Y17" i="10"/>
  <c r="Z51" i="10"/>
  <c r="Y50" i="10"/>
  <c r="T14" i="10"/>
  <c r="T13" i="10" s="1"/>
  <c r="T14" i="9"/>
  <c r="T13" i="9" s="1"/>
  <c r="Z49" i="9"/>
  <c r="Y48" i="9"/>
  <c r="Z17" i="9"/>
  <c r="Y17" i="9"/>
  <c r="Y57" i="9" s="1"/>
  <c r="Z49" i="8"/>
  <c r="Y48" i="8"/>
  <c r="Z17" i="8"/>
  <c r="T14" i="8"/>
  <c r="T13" i="8" s="1"/>
  <c r="Y17" i="8"/>
  <c r="T17" i="7"/>
  <c r="Y13" i="7"/>
  <c r="Y57" i="7" s="1"/>
  <c r="Z17" i="7"/>
  <c r="T13" i="7"/>
  <c r="Z13" i="7"/>
  <c r="Z48" i="7"/>
  <c r="T49" i="7"/>
  <c r="T48" i="7" s="1"/>
  <c r="S13" i="6"/>
  <c r="R57" i="6"/>
  <c r="N57" i="6"/>
  <c r="Y44" i="6"/>
  <c r="Z44" i="6" s="1"/>
  <c r="T44" i="6" s="1"/>
  <c r="Y21" i="6"/>
  <c r="Z21" i="6" s="1"/>
  <c r="T21" i="6" s="1"/>
  <c r="S17" i="6"/>
  <c r="S57" i="6" s="1"/>
  <c r="T22" i="6"/>
  <c r="T30" i="6"/>
  <c r="V57" i="6"/>
  <c r="Y49" i="6"/>
  <c r="Y20" i="6"/>
  <c r="Z20" i="6" s="1"/>
  <c r="T20" i="6" s="1"/>
  <c r="T27" i="6"/>
  <c r="Y42" i="6"/>
  <c r="Z42" i="6" s="1"/>
  <c r="T42" i="6" s="1"/>
  <c r="Y54" i="6"/>
  <c r="Z54" i="6" s="1"/>
  <c r="T54" i="6" s="1"/>
  <c r="Y39" i="6"/>
  <c r="Z39" i="6" s="1"/>
  <c r="T39" i="6" s="1"/>
  <c r="O17" i="6"/>
  <c r="Y52" i="6"/>
  <c r="Z52" i="6" s="1"/>
  <c r="T52" i="6" s="1"/>
  <c r="Y36" i="6"/>
  <c r="Z36" i="6" s="1"/>
  <c r="T36" i="6" s="1"/>
  <c r="Y46" i="6"/>
  <c r="Z46" i="6" s="1"/>
  <c r="T46" i="6" s="1"/>
  <c r="Y24" i="6"/>
  <c r="Z24" i="6" s="1"/>
  <c r="T24" i="6" s="1"/>
  <c r="L57" i="6"/>
  <c r="M57" i="6"/>
  <c r="Y14" i="6"/>
  <c r="Y21" i="5"/>
  <c r="Z21" i="5" s="1"/>
  <c r="T21" i="5" s="1"/>
  <c r="Y36" i="5"/>
  <c r="Z36" i="5" s="1"/>
  <c r="T36" i="5" s="1"/>
  <c r="Y46" i="5"/>
  <c r="Z46" i="5" s="1"/>
  <c r="T46" i="5" s="1"/>
  <c r="O13" i="5"/>
  <c r="O57" i="5" s="1"/>
  <c r="Y14" i="5"/>
  <c r="O17" i="5"/>
  <c r="Y18" i="5"/>
  <c r="Y44" i="5"/>
  <c r="Z44" i="5" s="1"/>
  <c r="T44" i="5" s="1"/>
  <c r="Y33" i="5"/>
  <c r="Z33" i="5" s="1"/>
  <c r="T33" i="5" s="1"/>
  <c r="Y42" i="5"/>
  <c r="Z42" i="5" s="1"/>
  <c r="T42" i="5" s="1"/>
  <c r="Y54" i="5"/>
  <c r="Z54" i="5" s="1"/>
  <c r="T54" i="5" s="1"/>
  <c r="L57" i="5"/>
  <c r="N57" i="5"/>
  <c r="Y29" i="5"/>
  <c r="Z29" i="5" s="1"/>
  <c r="T29" i="5" s="1"/>
  <c r="Y49" i="5"/>
  <c r="Y24" i="5"/>
  <c r="Z24" i="5" s="1"/>
  <c r="T24" i="5" s="1"/>
  <c r="Y39" i="5"/>
  <c r="Z39" i="5" s="1"/>
  <c r="T39" i="5" s="1"/>
  <c r="Y52" i="5"/>
  <c r="Z52" i="5" s="1"/>
  <c r="T52" i="5" s="1"/>
  <c r="Y28" i="5"/>
  <c r="Z28" i="5" s="1"/>
  <c r="T28" i="5" s="1"/>
  <c r="S17" i="5"/>
  <c r="S57" i="5" s="1"/>
  <c r="O45" i="4"/>
  <c r="Y45" i="4" s="1"/>
  <c r="Z45" i="4" s="1"/>
  <c r="T45" i="4" s="1"/>
  <c r="S43" i="4"/>
  <c r="O44" i="4"/>
  <c r="Y44" i="4" s="1"/>
  <c r="Z44" i="4" s="1"/>
  <c r="T44" i="4" s="1"/>
  <c r="S46" i="4"/>
  <c r="S44" i="4"/>
  <c r="S45" i="4"/>
  <c r="O46" i="4"/>
  <c r="O43" i="4"/>
  <c r="T54" i="11" l="1"/>
  <c r="T50" i="11" s="1"/>
  <c r="Z50" i="11"/>
  <c r="Y59" i="10"/>
  <c r="Y48" i="5"/>
  <c r="Y48" i="6"/>
  <c r="Y57" i="8"/>
  <c r="Z13" i="12"/>
  <c r="T14" i="12"/>
  <c r="T13" i="12" s="1"/>
  <c r="Z50" i="12"/>
  <c r="T51" i="12"/>
  <c r="T50" i="12" s="1"/>
  <c r="Z17" i="12"/>
  <c r="T19" i="12"/>
  <c r="T17" i="12" s="1"/>
  <c r="Y59" i="12"/>
  <c r="T51" i="11"/>
  <c r="Y59" i="11"/>
  <c r="Z13" i="11"/>
  <c r="T14" i="11"/>
  <c r="T13" i="11" s="1"/>
  <c r="Z50" i="10"/>
  <c r="T51" i="10"/>
  <c r="T50" i="10" s="1"/>
  <c r="Z17" i="10"/>
  <c r="T19" i="10"/>
  <c r="T17" i="10" s="1"/>
  <c r="Z48" i="9"/>
  <c r="Z57" i="9" s="1"/>
  <c r="T49" i="9"/>
  <c r="T48" i="9" s="1"/>
  <c r="T57" i="9" s="1"/>
  <c r="Z48" i="8"/>
  <c r="Z57" i="8" s="1"/>
  <c r="T49" i="8"/>
  <c r="T48" i="8" s="1"/>
  <c r="T57" i="8" s="1"/>
  <c r="T57" i="7"/>
  <c r="Z57" i="7"/>
  <c r="Y13" i="6"/>
  <c r="O57" i="6"/>
  <c r="Z14" i="6"/>
  <c r="Y17" i="6"/>
  <c r="Z49" i="6"/>
  <c r="Z48" i="6" s="1"/>
  <c r="Z14" i="5"/>
  <c r="Y13" i="5"/>
  <c r="Z18" i="5"/>
  <c r="Y17" i="5"/>
  <c r="Z49" i="5"/>
  <c r="Z48" i="5" s="1"/>
  <c r="Y46" i="4"/>
  <c r="Z46" i="4" s="1"/>
  <c r="T46" i="4" s="1"/>
  <c r="Y43" i="4"/>
  <c r="K55" i="4"/>
  <c r="D55" i="4"/>
  <c r="K54" i="4"/>
  <c r="V54" i="4" s="1"/>
  <c r="D54" i="4"/>
  <c r="R54" i="4" s="1"/>
  <c r="K53" i="4"/>
  <c r="D53" i="4"/>
  <c r="R53" i="4" s="1"/>
  <c r="K52" i="4"/>
  <c r="V52" i="4" s="1"/>
  <c r="D52" i="4"/>
  <c r="R52" i="4" s="1"/>
  <c r="Y51" i="4"/>
  <c r="Z51" i="4" s="1"/>
  <c r="X50" i="4"/>
  <c r="X48" i="4" s="1"/>
  <c r="K50" i="4"/>
  <c r="V50" i="4" s="1"/>
  <c r="D50" i="4"/>
  <c r="R50" i="4" s="1"/>
  <c r="K49" i="4"/>
  <c r="V49" i="4" s="1"/>
  <c r="D49" i="4"/>
  <c r="K42" i="4"/>
  <c r="D42" i="4"/>
  <c r="R42" i="4" s="1"/>
  <c r="K40" i="4"/>
  <c r="V40" i="4" s="1"/>
  <c r="D40" i="4"/>
  <c r="R40" i="4" s="1"/>
  <c r="K39" i="4"/>
  <c r="D39" i="4"/>
  <c r="R39" i="4" s="1"/>
  <c r="K38" i="4"/>
  <c r="V38" i="4" s="1"/>
  <c r="D38" i="4"/>
  <c r="R38" i="4" s="1"/>
  <c r="V37" i="4"/>
  <c r="Y37" i="4" s="1"/>
  <c r="Z37" i="4" s="1"/>
  <c r="X36" i="4"/>
  <c r="K36" i="4"/>
  <c r="V36" i="4" s="1"/>
  <c r="D36" i="4"/>
  <c r="R36" i="4" s="1"/>
  <c r="K35" i="4"/>
  <c r="V35" i="4" s="1"/>
  <c r="D35" i="4"/>
  <c r="R35" i="4" s="1"/>
  <c r="X34" i="4"/>
  <c r="K34" i="4"/>
  <c r="V34" i="4" s="1"/>
  <c r="D34" i="4"/>
  <c r="R34" i="4" s="1"/>
  <c r="K33" i="4"/>
  <c r="D33" i="4"/>
  <c r="R33" i="4" s="1"/>
  <c r="X31" i="4"/>
  <c r="K31" i="4"/>
  <c r="V31" i="4" s="1"/>
  <c r="D31" i="4"/>
  <c r="R31" i="4" s="1"/>
  <c r="X30" i="4"/>
  <c r="K30" i="4"/>
  <c r="V30" i="4" s="1"/>
  <c r="D30" i="4"/>
  <c r="R30" i="4" s="1"/>
  <c r="X29" i="4"/>
  <c r="K29" i="4"/>
  <c r="D29" i="4"/>
  <c r="R29" i="4" s="1"/>
  <c r="X28" i="4"/>
  <c r="K28" i="4"/>
  <c r="V28" i="4" s="1"/>
  <c r="D28" i="4"/>
  <c r="L28" i="4" s="1"/>
  <c r="K27" i="4"/>
  <c r="V27" i="4" s="1"/>
  <c r="D27" i="4"/>
  <c r="L27" i="4" s="1"/>
  <c r="K26" i="4"/>
  <c r="V26" i="4" s="1"/>
  <c r="D26" i="4"/>
  <c r="N26" i="4" s="1"/>
  <c r="X25" i="4"/>
  <c r="K25" i="4"/>
  <c r="D25" i="4"/>
  <c r="R25" i="4" s="1"/>
  <c r="K24" i="4"/>
  <c r="V24" i="4" s="1"/>
  <c r="D24" i="4"/>
  <c r="R24" i="4" s="1"/>
  <c r="K23" i="4"/>
  <c r="V23" i="4" s="1"/>
  <c r="D23" i="4"/>
  <c r="R23" i="4" s="1"/>
  <c r="X22" i="4"/>
  <c r="K22" i="4"/>
  <c r="V22" i="4" s="1"/>
  <c r="D22" i="4"/>
  <c r="Q22" i="4" s="1"/>
  <c r="X21" i="4"/>
  <c r="K21" i="4"/>
  <c r="V21" i="4" s="1"/>
  <c r="D21" i="4"/>
  <c r="R21" i="4" s="1"/>
  <c r="X20" i="4"/>
  <c r="K20" i="4"/>
  <c r="V20" i="4" s="1"/>
  <c r="D20" i="4"/>
  <c r="Q20" i="4" s="1"/>
  <c r="X19" i="4"/>
  <c r="K19" i="4"/>
  <c r="D19" i="4"/>
  <c r="R19" i="4" s="1"/>
  <c r="D18" i="4"/>
  <c r="K14" i="4"/>
  <c r="V14" i="4" s="1"/>
  <c r="D14" i="4"/>
  <c r="D13" i="4" s="1"/>
  <c r="X13" i="4"/>
  <c r="W13" i="4"/>
  <c r="U13" i="4"/>
  <c r="J13" i="4"/>
  <c r="I13" i="4"/>
  <c r="H13" i="4"/>
  <c r="G13" i="4"/>
  <c r="F13" i="4"/>
  <c r="E13" i="4"/>
  <c r="V12" i="4"/>
  <c r="V11" i="4" s="1"/>
  <c r="D12" i="4"/>
  <c r="P12" i="4" s="1"/>
  <c r="Z11" i="4"/>
  <c r="Y11" i="4"/>
  <c r="X11" i="4"/>
  <c r="W11" i="4"/>
  <c r="U11" i="4"/>
  <c r="T11" i="4"/>
  <c r="K11" i="4"/>
  <c r="J11" i="4"/>
  <c r="I11" i="4"/>
  <c r="H11" i="4"/>
  <c r="G11" i="4"/>
  <c r="F11" i="4"/>
  <c r="E11" i="4"/>
  <c r="E17" i="3"/>
  <c r="F17" i="3"/>
  <c r="G17" i="3"/>
  <c r="H17" i="3"/>
  <c r="I17" i="3"/>
  <c r="J17" i="3"/>
  <c r="U17" i="3"/>
  <c r="W17" i="3"/>
  <c r="V51" i="3"/>
  <c r="K42" i="3"/>
  <c r="V42" i="3" s="1"/>
  <c r="D42" i="3"/>
  <c r="R42" i="3" s="1"/>
  <c r="K55" i="3"/>
  <c r="V55" i="3" s="1"/>
  <c r="D55" i="3"/>
  <c r="R55" i="3" s="1"/>
  <c r="K54" i="3"/>
  <c r="V54" i="3" s="1"/>
  <c r="D54" i="3"/>
  <c r="R54" i="3" s="1"/>
  <c r="K53" i="3"/>
  <c r="V53" i="3" s="1"/>
  <c r="D53" i="3"/>
  <c r="R53" i="3" s="1"/>
  <c r="K52" i="3"/>
  <c r="V52" i="3" s="1"/>
  <c r="D52" i="3"/>
  <c r="R52" i="3" s="1"/>
  <c r="X50" i="3"/>
  <c r="X48" i="3" s="1"/>
  <c r="K50" i="3"/>
  <c r="D50" i="3"/>
  <c r="N50" i="3" s="1"/>
  <c r="K49" i="3"/>
  <c r="D49" i="3"/>
  <c r="R49" i="3" s="1"/>
  <c r="W48" i="3"/>
  <c r="U48" i="3"/>
  <c r="J48" i="3"/>
  <c r="I48" i="3"/>
  <c r="H48" i="3"/>
  <c r="G48" i="3"/>
  <c r="F48" i="3"/>
  <c r="E48" i="3"/>
  <c r="K40" i="3"/>
  <c r="D40" i="3"/>
  <c r="N40" i="3" s="1"/>
  <c r="K39" i="3"/>
  <c r="V39" i="3" s="1"/>
  <c r="D39" i="3"/>
  <c r="R39" i="3" s="1"/>
  <c r="K38" i="3"/>
  <c r="D38" i="3"/>
  <c r="N38" i="3" s="1"/>
  <c r="Q37" i="3"/>
  <c r="M37" i="3"/>
  <c r="V37" i="3"/>
  <c r="X36" i="3"/>
  <c r="K36" i="3"/>
  <c r="V36" i="3" s="1"/>
  <c r="D36" i="3"/>
  <c r="R36" i="3" s="1"/>
  <c r="K35" i="3"/>
  <c r="V35" i="3" s="1"/>
  <c r="D35" i="3"/>
  <c r="N35" i="3" s="1"/>
  <c r="X34" i="3"/>
  <c r="K34" i="3"/>
  <c r="V34" i="3" s="1"/>
  <c r="D34" i="3"/>
  <c r="R34" i="3" s="1"/>
  <c r="K33" i="3"/>
  <c r="D33" i="3"/>
  <c r="N33" i="3" s="1"/>
  <c r="X32" i="3"/>
  <c r="K32" i="3"/>
  <c r="V32" i="3" s="1"/>
  <c r="D32" i="3"/>
  <c r="M32" i="3" s="1"/>
  <c r="X31" i="3"/>
  <c r="K31" i="3"/>
  <c r="V31" i="3" s="1"/>
  <c r="D31" i="3"/>
  <c r="R31" i="3" s="1"/>
  <c r="X30" i="3"/>
  <c r="K30" i="3"/>
  <c r="V30" i="3" s="1"/>
  <c r="D30" i="3"/>
  <c r="R30" i="3" s="1"/>
  <c r="X29" i="3"/>
  <c r="K29" i="3"/>
  <c r="D29" i="3"/>
  <c r="N29" i="3" s="1"/>
  <c r="X28" i="3"/>
  <c r="K28" i="3"/>
  <c r="V28" i="3" s="1"/>
  <c r="D28" i="3"/>
  <c r="N28" i="3" s="1"/>
  <c r="K27" i="3"/>
  <c r="V27" i="3" s="1"/>
  <c r="D27" i="3"/>
  <c r="R27" i="3" s="1"/>
  <c r="K26" i="3"/>
  <c r="V26" i="3" s="1"/>
  <c r="D26" i="3"/>
  <c r="N26" i="3" s="1"/>
  <c r="X25" i="3"/>
  <c r="K25" i="3"/>
  <c r="V25" i="3" s="1"/>
  <c r="D25" i="3"/>
  <c r="R25" i="3" s="1"/>
  <c r="K24" i="3"/>
  <c r="V24" i="3" s="1"/>
  <c r="D24" i="3"/>
  <c r="R24" i="3" s="1"/>
  <c r="K23" i="3"/>
  <c r="V23" i="3" s="1"/>
  <c r="D23" i="3"/>
  <c r="R23" i="3" s="1"/>
  <c r="X22" i="3"/>
  <c r="K22" i="3"/>
  <c r="V22" i="3" s="1"/>
  <c r="D22" i="3"/>
  <c r="Q22" i="3" s="1"/>
  <c r="X21" i="3"/>
  <c r="K21" i="3"/>
  <c r="V21" i="3" s="1"/>
  <c r="D21" i="3"/>
  <c r="R21" i="3" s="1"/>
  <c r="X20" i="3"/>
  <c r="K20" i="3"/>
  <c r="V20" i="3" s="1"/>
  <c r="D20" i="3"/>
  <c r="Q20" i="3" s="1"/>
  <c r="X19" i="3"/>
  <c r="K19" i="3"/>
  <c r="V19" i="3" s="1"/>
  <c r="D19" i="3"/>
  <c r="R19" i="3" s="1"/>
  <c r="K18" i="3"/>
  <c r="D18" i="3"/>
  <c r="R18" i="3" s="1"/>
  <c r="K14" i="3"/>
  <c r="V14" i="3" s="1"/>
  <c r="D14" i="3"/>
  <c r="R14" i="3" s="1"/>
  <c r="R13" i="3" s="1"/>
  <c r="X13" i="3"/>
  <c r="W13" i="3"/>
  <c r="U13" i="3"/>
  <c r="J13" i="3"/>
  <c r="I13" i="3"/>
  <c r="H13" i="3"/>
  <c r="G13" i="3"/>
  <c r="F13" i="3"/>
  <c r="E13" i="3"/>
  <c r="D13" i="3"/>
  <c r="V12" i="3"/>
  <c r="V11" i="3" s="1"/>
  <c r="D12" i="3"/>
  <c r="R12" i="3" s="1"/>
  <c r="R11" i="3" s="1"/>
  <c r="Z11" i="3"/>
  <c r="Y11" i="3"/>
  <c r="X11" i="3"/>
  <c r="W11" i="3"/>
  <c r="U11" i="3"/>
  <c r="T11" i="3"/>
  <c r="K11" i="3"/>
  <c r="J11" i="3"/>
  <c r="I11" i="3"/>
  <c r="H11" i="3"/>
  <c r="G11" i="3"/>
  <c r="F11" i="3"/>
  <c r="E11" i="3"/>
  <c r="K55" i="2"/>
  <c r="V55" i="2" s="1"/>
  <c r="D55" i="2"/>
  <c r="R55" i="2" s="1"/>
  <c r="K54" i="2"/>
  <c r="V54" i="2" s="1"/>
  <c r="D54" i="2"/>
  <c r="R54" i="2" s="1"/>
  <c r="K53" i="2"/>
  <c r="V53" i="2" s="1"/>
  <c r="D53" i="2"/>
  <c r="R53" i="2" s="1"/>
  <c r="K52" i="2"/>
  <c r="V52" i="2" s="1"/>
  <c r="D52" i="2"/>
  <c r="R52" i="2" s="1"/>
  <c r="K51" i="2"/>
  <c r="V51" i="2" s="1"/>
  <c r="D51" i="2"/>
  <c r="N51" i="2" s="1"/>
  <c r="X50" i="2"/>
  <c r="X48" i="2" s="1"/>
  <c r="K50" i="2"/>
  <c r="V50" i="2" s="1"/>
  <c r="D50" i="2"/>
  <c r="P50" i="2" s="1"/>
  <c r="K49" i="2"/>
  <c r="D49" i="2"/>
  <c r="R49" i="2" s="1"/>
  <c r="W48" i="2"/>
  <c r="U48" i="2"/>
  <c r="J48" i="2"/>
  <c r="I48" i="2"/>
  <c r="H48" i="2"/>
  <c r="G48" i="2"/>
  <c r="F48" i="2"/>
  <c r="E48" i="2"/>
  <c r="K40" i="2"/>
  <c r="V40" i="2" s="1"/>
  <c r="D40" i="2"/>
  <c r="P40" i="2" s="1"/>
  <c r="K39" i="2"/>
  <c r="D39" i="2"/>
  <c r="R39" i="2" s="1"/>
  <c r="K38" i="2"/>
  <c r="D38" i="2"/>
  <c r="P38" i="2" s="1"/>
  <c r="K37" i="2"/>
  <c r="D37" i="2"/>
  <c r="R37" i="2" s="1"/>
  <c r="X36" i="2"/>
  <c r="K36" i="2"/>
  <c r="V36" i="2" s="1"/>
  <c r="D36" i="2"/>
  <c r="N36" i="2" s="1"/>
  <c r="K35" i="2"/>
  <c r="V35" i="2" s="1"/>
  <c r="D35" i="2"/>
  <c r="R35" i="2" s="1"/>
  <c r="X34" i="2"/>
  <c r="K34" i="2"/>
  <c r="V34" i="2" s="1"/>
  <c r="D34" i="2"/>
  <c r="R34" i="2" s="1"/>
  <c r="K33" i="2"/>
  <c r="V33" i="2" s="1"/>
  <c r="D33" i="2"/>
  <c r="P33" i="2" s="1"/>
  <c r="X32" i="2"/>
  <c r="K32" i="2"/>
  <c r="V32" i="2" s="1"/>
  <c r="D32" i="2"/>
  <c r="X31" i="2"/>
  <c r="K31" i="2"/>
  <c r="V31" i="2" s="1"/>
  <c r="D31" i="2"/>
  <c r="R31" i="2" s="1"/>
  <c r="X30" i="2"/>
  <c r="K30" i="2"/>
  <c r="V30" i="2" s="1"/>
  <c r="D30" i="2"/>
  <c r="X29" i="2"/>
  <c r="K29" i="2"/>
  <c r="D29" i="2"/>
  <c r="P29" i="2" s="1"/>
  <c r="X28" i="2"/>
  <c r="K28" i="2"/>
  <c r="V28" i="2" s="1"/>
  <c r="D28" i="2"/>
  <c r="R28" i="2" s="1"/>
  <c r="K27" i="2"/>
  <c r="V27" i="2" s="1"/>
  <c r="D27" i="2"/>
  <c r="R27" i="2" s="1"/>
  <c r="K26" i="2"/>
  <c r="V26" i="2" s="1"/>
  <c r="D26" i="2"/>
  <c r="X25" i="2"/>
  <c r="K25" i="2"/>
  <c r="V25" i="2" s="1"/>
  <c r="D25" i="2"/>
  <c r="R25" i="2" s="1"/>
  <c r="K24" i="2"/>
  <c r="D24" i="2"/>
  <c r="R24" i="2" s="1"/>
  <c r="K23" i="2"/>
  <c r="V23" i="2" s="1"/>
  <c r="D23" i="2"/>
  <c r="R23" i="2" s="1"/>
  <c r="X22" i="2"/>
  <c r="K22" i="2"/>
  <c r="V22" i="2" s="1"/>
  <c r="D22" i="2"/>
  <c r="R22" i="2" s="1"/>
  <c r="X21" i="2"/>
  <c r="K21" i="2"/>
  <c r="D21" i="2"/>
  <c r="R21" i="2" s="1"/>
  <c r="X20" i="2"/>
  <c r="K20" i="2"/>
  <c r="V20" i="2" s="1"/>
  <c r="D20" i="2"/>
  <c r="R20" i="2" s="1"/>
  <c r="X19" i="2"/>
  <c r="K19" i="2"/>
  <c r="D19" i="2"/>
  <c r="R19" i="2" s="1"/>
  <c r="K18" i="2"/>
  <c r="V18" i="2" s="1"/>
  <c r="D18" i="2"/>
  <c r="R18" i="2" s="1"/>
  <c r="W17" i="2"/>
  <c r="U17" i="2"/>
  <c r="J17" i="2"/>
  <c r="I17" i="2"/>
  <c r="H17" i="2"/>
  <c r="G17" i="2"/>
  <c r="F17" i="2"/>
  <c r="E17" i="2"/>
  <c r="K14" i="2"/>
  <c r="V14" i="2" s="1"/>
  <c r="V13" i="2" s="1"/>
  <c r="D14" i="2"/>
  <c r="N14" i="2" s="1"/>
  <c r="N13" i="2" s="1"/>
  <c r="X13" i="2"/>
  <c r="W13" i="2"/>
  <c r="U13" i="2"/>
  <c r="J13" i="2"/>
  <c r="I13" i="2"/>
  <c r="H13" i="2"/>
  <c r="G13" i="2"/>
  <c r="F13" i="2"/>
  <c r="E13" i="2"/>
  <c r="V12" i="2"/>
  <c r="V11" i="2" s="1"/>
  <c r="L12" i="2"/>
  <c r="L11" i="2" s="1"/>
  <c r="D12" i="2"/>
  <c r="Q12" i="2" s="1"/>
  <c r="Q11" i="2" s="1"/>
  <c r="Z11" i="2"/>
  <c r="Y11" i="2"/>
  <c r="X11" i="2"/>
  <c r="W11" i="2"/>
  <c r="U11" i="2"/>
  <c r="T11" i="2"/>
  <c r="K11" i="2"/>
  <c r="J11" i="2"/>
  <c r="I11" i="2"/>
  <c r="H11" i="2"/>
  <c r="G11" i="2"/>
  <c r="F11" i="2"/>
  <c r="E11" i="2"/>
  <c r="D11" i="2"/>
  <c r="K55" i="1"/>
  <c r="D55" i="1"/>
  <c r="R55" i="1" s="1"/>
  <c r="K54" i="1"/>
  <c r="D54" i="1"/>
  <c r="R54" i="1" s="1"/>
  <c r="K53" i="1"/>
  <c r="D53" i="1"/>
  <c r="R53" i="1" s="1"/>
  <c r="K52" i="1"/>
  <c r="D52" i="1"/>
  <c r="R52" i="1" s="1"/>
  <c r="K51" i="1"/>
  <c r="D51" i="1"/>
  <c r="R51" i="1" s="1"/>
  <c r="X50" i="1"/>
  <c r="X48" i="1" s="1"/>
  <c r="K50" i="1"/>
  <c r="D50" i="1"/>
  <c r="R50" i="1" s="1"/>
  <c r="K49" i="1"/>
  <c r="D49" i="1"/>
  <c r="R49" i="1" s="1"/>
  <c r="W48" i="1"/>
  <c r="U48" i="1"/>
  <c r="J48" i="1"/>
  <c r="I48" i="1"/>
  <c r="H48" i="1"/>
  <c r="G48" i="1"/>
  <c r="F48" i="1"/>
  <c r="E48" i="1"/>
  <c r="K41" i="1"/>
  <c r="V40" i="1"/>
  <c r="D40" i="1"/>
  <c r="R40" i="1" s="1"/>
  <c r="K39" i="1"/>
  <c r="D39" i="1"/>
  <c r="M39" i="1" s="1"/>
  <c r="K38" i="1"/>
  <c r="D38" i="1"/>
  <c r="R38" i="1" s="1"/>
  <c r="K37" i="1"/>
  <c r="D37" i="1"/>
  <c r="X36" i="1"/>
  <c r="K36" i="1"/>
  <c r="D36" i="1"/>
  <c r="R36" i="1" s="1"/>
  <c r="K35" i="1"/>
  <c r="D35" i="1"/>
  <c r="N35" i="1" s="1"/>
  <c r="X34" i="1"/>
  <c r="K34" i="1"/>
  <c r="D34" i="1"/>
  <c r="N34" i="1" s="1"/>
  <c r="K33" i="1"/>
  <c r="D33" i="1"/>
  <c r="R33" i="1" s="1"/>
  <c r="X32" i="1"/>
  <c r="K32" i="1"/>
  <c r="D32" i="1"/>
  <c r="N32" i="1" s="1"/>
  <c r="X31" i="1"/>
  <c r="K31" i="1"/>
  <c r="D31" i="1"/>
  <c r="M31" i="1" s="1"/>
  <c r="X30" i="1"/>
  <c r="K30" i="1"/>
  <c r="D30" i="1"/>
  <c r="R30" i="1" s="1"/>
  <c r="X29" i="1"/>
  <c r="K29" i="1"/>
  <c r="D29" i="1"/>
  <c r="R29" i="1" s="1"/>
  <c r="X28" i="1"/>
  <c r="K28" i="1"/>
  <c r="D28" i="1"/>
  <c r="N28" i="1" s="1"/>
  <c r="K27" i="1"/>
  <c r="D27" i="1"/>
  <c r="R27" i="1" s="1"/>
  <c r="K26" i="1"/>
  <c r="D26" i="1"/>
  <c r="N26" i="1" s="1"/>
  <c r="X25" i="1"/>
  <c r="K25" i="1"/>
  <c r="D25" i="1"/>
  <c r="R25" i="1" s="1"/>
  <c r="K24" i="1"/>
  <c r="D24" i="1"/>
  <c r="N24" i="1" s="1"/>
  <c r="K23" i="1"/>
  <c r="D23" i="1"/>
  <c r="N23" i="1" s="1"/>
  <c r="X22" i="1"/>
  <c r="K22" i="1"/>
  <c r="D22" i="1"/>
  <c r="X21" i="1"/>
  <c r="K21" i="1"/>
  <c r="D21" i="1"/>
  <c r="X20" i="1"/>
  <c r="K20" i="1"/>
  <c r="D20" i="1"/>
  <c r="N20" i="1" s="1"/>
  <c r="X19" i="1"/>
  <c r="K19" i="1"/>
  <c r="D19" i="1"/>
  <c r="R19" i="1" s="1"/>
  <c r="D18" i="1"/>
  <c r="R18" i="1" s="1"/>
  <c r="W17" i="1"/>
  <c r="U17" i="1"/>
  <c r="J17" i="1"/>
  <c r="I17" i="1"/>
  <c r="H17" i="1"/>
  <c r="G17" i="1"/>
  <c r="F17" i="1"/>
  <c r="E17" i="1"/>
  <c r="K14" i="1"/>
  <c r="D14" i="1"/>
  <c r="D13" i="1" s="1"/>
  <c r="X13" i="1"/>
  <c r="W13" i="1"/>
  <c r="U13" i="1"/>
  <c r="K13" i="1"/>
  <c r="J13" i="1"/>
  <c r="I13" i="1"/>
  <c r="H13" i="1"/>
  <c r="G13" i="1"/>
  <c r="F13" i="1"/>
  <c r="E13" i="1"/>
  <c r="V12" i="1"/>
  <c r="V11" i="1" s="1"/>
  <c r="D12" i="1"/>
  <c r="R12" i="1" s="1"/>
  <c r="R11" i="1" s="1"/>
  <c r="Z11" i="1"/>
  <c r="Y11" i="1"/>
  <c r="X11" i="1"/>
  <c r="W11" i="1"/>
  <c r="U11" i="1"/>
  <c r="T11" i="1"/>
  <c r="K11" i="1"/>
  <c r="J11" i="1"/>
  <c r="I11" i="1"/>
  <c r="H11" i="1"/>
  <c r="G11" i="1"/>
  <c r="F11" i="1"/>
  <c r="E11" i="1"/>
  <c r="D17" i="1" l="1"/>
  <c r="X17" i="4"/>
  <c r="Z59" i="10"/>
  <c r="T59" i="10"/>
  <c r="T59" i="11"/>
  <c r="V14" i="1"/>
  <c r="V13" i="1" s="1"/>
  <c r="V19" i="1"/>
  <c r="K17" i="1"/>
  <c r="V23" i="1"/>
  <c r="V25" i="1"/>
  <c r="V31" i="1"/>
  <c r="V34" i="1"/>
  <c r="V37" i="1"/>
  <c r="V39" i="1"/>
  <c r="V52" i="1"/>
  <c r="V54" i="1"/>
  <c r="K48" i="4"/>
  <c r="V50" i="1"/>
  <c r="R18" i="4"/>
  <c r="D17" i="4"/>
  <c r="Q25" i="2"/>
  <c r="V21" i="1"/>
  <c r="V24" i="1"/>
  <c r="V33" i="1"/>
  <c r="V51" i="1"/>
  <c r="K17" i="3"/>
  <c r="V27" i="1"/>
  <c r="V30" i="1"/>
  <c r="V36" i="1"/>
  <c r="V49" i="1"/>
  <c r="V19" i="4"/>
  <c r="K17" i="4"/>
  <c r="Q39" i="3"/>
  <c r="Z59" i="12"/>
  <c r="T59" i="12"/>
  <c r="Z59" i="11"/>
  <c r="Y57" i="5"/>
  <c r="T15" i="6"/>
  <c r="Z13" i="6"/>
  <c r="T14" i="6"/>
  <c r="T49" i="6"/>
  <c r="T48" i="6" s="1"/>
  <c r="Y57" i="6"/>
  <c r="Z17" i="6"/>
  <c r="T17" i="6"/>
  <c r="Z13" i="5"/>
  <c r="T14" i="5"/>
  <c r="T13" i="5" s="1"/>
  <c r="T49" i="5"/>
  <c r="T48" i="5" s="1"/>
  <c r="Z17" i="5"/>
  <c r="T18" i="5"/>
  <c r="T17" i="5" s="1"/>
  <c r="R55" i="4"/>
  <c r="D48" i="4"/>
  <c r="K48" i="3"/>
  <c r="G57" i="3"/>
  <c r="D48" i="2"/>
  <c r="K48" i="1"/>
  <c r="R48" i="1"/>
  <c r="Z43" i="4"/>
  <c r="X57" i="4"/>
  <c r="M31" i="4"/>
  <c r="D11" i="4"/>
  <c r="M26" i="3"/>
  <c r="P30" i="3"/>
  <c r="P36" i="3"/>
  <c r="D11" i="3"/>
  <c r="K13" i="3"/>
  <c r="X17" i="3"/>
  <c r="Q26" i="3"/>
  <c r="M39" i="3"/>
  <c r="V49" i="3"/>
  <c r="N52" i="3"/>
  <c r="P20" i="2"/>
  <c r="M23" i="2"/>
  <c r="Q24" i="2"/>
  <c r="N27" i="2"/>
  <c r="M37" i="2"/>
  <c r="H57" i="2"/>
  <c r="P12" i="2"/>
  <c r="P11" i="2" s="1"/>
  <c r="K13" i="2"/>
  <c r="Q23" i="2"/>
  <c r="M25" i="2"/>
  <c r="Q37" i="2"/>
  <c r="K48" i="2"/>
  <c r="V29" i="1"/>
  <c r="D28" i="13"/>
  <c r="V38" i="1"/>
  <c r="D38" i="13"/>
  <c r="L50" i="1"/>
  <c r="P54" i="1"/>
  <c r="N12" i="2"/>
  <c r="N11" i="2" s="1"/>
  <c r="R12" i="2"/>
  <c r="R11" i="2" s="1"/>
  <c r="M18" i="2"/>
  <c r="Q18" i="2"/>
  <c r="Q19" i="2"/>
  <c r="L20" i="2"/>
  <c r="P22" i="2"/>
  <c r="L23" i="2"/>
  <c r="P23" i="2"/>
  <c r="N24" i="2"/>
  <c r="L25" i="2"/>
  <c r="P25" i="2"/>
  <c r="L27" i="2"/>
  <c r="N28" i="2"/>
  <c r="Q29" i="2"/>
  <c r="M31" i="2"/>
  <c r="Q31" i="2"/>
  <c r="M33" i="2"/>
  <c r="L34" i="2"/>
  <c r="P34" i="2"/>
  <c r="N35" i="2"/>
  <c r="L36" i="2"/>
  <c r="L37" i="2"/>
  <c r="P37" i="2"/>
  <c r="Q38" i="2"/>
  <c r="M39" i="2"/>
  <c r="Q39" i="2"/>
  <c r="M40" i="2"/>
  <c r="L49" i="2"/>
  <c r="P49" i="2"/>
  <c r="S49" i="2" s="1"/>
  <c r="M50" i="2"/>
  <c r="R51" i="2"/>
  <c r="P52" i="2"/>
  <c r="N53" i="2"/>
  <c r="P54" i="2"/>
  <c r="N55" i="2"/>
  <c r="L12" i="3"/>
  <c r="N12" i="3"/>
  <c r="N11" i="3" s="1"/>
  <c r="Q12" i="3"/>
  <c r="Q11" i="3" s="1"/>
  <c r="L14" i="3"/>
  <c r="L19" i="3"/>
  <c r="P19" i="3"/>
  <c r="S19" i="3" s="1"/>
  <c r="L21" i="3"/>
  <c r="P21" i="3"/>
  <c r="L23" i="3"/>
  <c r="P23" i="3"/>
  <c r="M24" i="3"/>
  <c r="Q24" i="3"/>
  <c r="L25" i="3"/>
  <c r="P25" i="3"/>
  <c r="L27" i="3"/>
  <c r="R28" i="3"/>
  <c r="L31" i="3"/>
  <c r="P31" i="3"/>
  <c r="S31" i="3" s="1"/>
  <c r="N32" i="3"/>
  <c r="L34" i="3"/>
  <c r="P34" i="3"/>
  <c r="M35" i="3"/>
  <c r="R35" i="3"/>
  <c r="L49" i="3"/>
  <c r="P49" i="3"/>
  <c r="P53" i="3"/>
  <c r="N54" i="3"/>
  <c r="P55" i="3"/>
  <c r="P42" i="3"/>
  <c r="D17" i="3"/>
  <c r="L14" i="4"/>
  <c r="L13" i="4" s="1"/>
  <c r="M19" i="4"/>
  <c r="M21" i="4"/>
  <c r="L25" i="4"/>
  <c r="N27" i="4"/>
  <c r="P30" i="4"/>
  <c r="L31" i="4"/>
  <c r="L38" i="4"/>
  <c r="M40" i="4"/>
  <c r="M52" i="4"/>
  <c r="Q53" i="4"/>
  <c r="M25" i="1"/>
  <c r="N39" i="1"/>
  <c r="P50" i="1"/>
  <c r="L51" i="1"/>
  <c r="R14" i="2"/>
  <c r="R13" i="2" s="1"/>
  <c r="L18" i="2"/>
  <c r="P18" i="2"/>
  <c r="M19" i="2"/>
  <c r="M21" i="2"/>
  <c r="L22" i="2"/>
  <c r="L28" i="2"/>
  <c r="M29" i="2"/>
  <c r="L31" i="2"/>
  <c r="P31" i="2"/>
  <c r="X17" i="2"/>
  <c r="Q33" i="2"/>
  <c r="M34" i="2"/>
  <c r="Q34" i="2"/>
  <c r="L35" i="2"/>
  <c r="M38" i="2"/>
  <c r="L39" i="2"/>
  <c r="P39" i="2"/>
  <c r="S39" i="2" s="1"/>
  <c r="Q40" i="2"/>
  <c r="M49" i="2"/>
  <c r="Q49" i="2"/>
  <c r="Q50" i="2"/>
  <c r="L52" i="2"/>
  <c r="L54" i="2"/>
  <c r="M12" i="3"/>
  <c r="M11" i="3" s="1"/>
  <c r="P12" i="3"/>
  <c r="P14" i="3"/>
  <c r="M19" i="3"/>
  <c r="Q19" i="3"/>
  <c r="M21" i="3"/>
  <c r="Q21" i="3"/>
  <c r="M23" i="3"/>
  <c r="Q23" i="3"/>
  <c r="N24" i="3"/>
  <c r="M25" i="3"/>
  <c r="Q25" i="3"/>
  <c r="L26" i="3"/>
  <c r="P26" i="3"/>
  <c r="R26" i="3"/>
  <c r="P27" i="3"/>
  <c r="L30" i="3"/>
  <c r="M31" i="3"/>
  <c r="Q31" i="3"/>
  <c r="R32" i="3"/>
  <c r="M34" i="3"/>
  <c r="Q34" i="3"/>
  <c r="S34" i="3" s="1"/>
  <c r="L36" i="3"/>
  <c r="L39" i="3"/>
  <c r="P39" i="3"/>
  <c r="M49" i="3"/>
  <c r="Q49" i="3"/>
  <c r="M52" i="3"/>
  <c r="L53" i="3"/>
  <c r="M54" i="3"/>
  <c r="L55" i="3"/>
  <c r="L42" i="3"/>
  <c r="N12" i="4"/>
  <c r="N11" i="4" s="1"/>
  <c r="P14" i="4"/>
  <c r="P13" i="4" s="1"/>
  <c r="Q18" i="4"/>
  <c r="M24" i="4"/>
  <c r="Q25" i="4"/>
  <c r="L26" i="4"/>
  <c r="N28" i="4"/>
  <c r="M38" i="4"/>
  <c r="Q39" i="4"/>
  <c r="L52" i="4"/>
  <c r="M54" i="4"/>
  <c r="P11" i="4"/>
  <c r="P34" i="4"/>
  <c r="M12" i="4"/>
  <c r="M11" i="4" s="1"/>
  <c r="R12" i="4"/>
  <c r="R11" i="4" s="1"/>
  <c r="K13" i="4"/>
  <c r="M18" i="4"/>
  <c r="L19" i="4"/>
  <c r="L21" i="4"/>
  <c r="M23" i="4"/>
  <c r="P25" i="4"/>
  <c r="Q29" i="4"/>
  <c r="L30" i="4"/>
  <c r="Q31" i="4"/>
  <c r="Q33" i="4"/>
  <c r="M34" i="4"/>
  <c r="P36" i="4"/>
  <c r="Q38" i="4"/>
  <c r="M39" i="4"/>
  <c r="L40" i="4"/>
  <c r="Q42" i="4"/>
  <c r="P50" i="4"/>
  <c r="Q52" i="4"/>
  <c r="M53" i="4"/>
  <c r="L54" i="4"/>
  <c r="Q55" i="4"/>
  <c r="P23" i="4"/>
  <c r="L12" i="4"/>
  <c r="Q12" i="4"/>
  <c r="Q11" i="4" s="1"/>
  <c r="Q19" i="4"/>
  <c r="Q21" i="4"/>
  <c r="L23" i="4"/>
  <c r="Q24" i="4"/>
  <c r="M25" i="4"/>
  <c r="R27" i="4"/>
  <c r="M29" i="4"/>
  <c r="P31" i="4"/>
  <c r="M33" i="4"/>
  <c r="L34" i="4"/>
  <c r="N35" i="4"/>
  <c r="L36" i="4"/>
  <c r="P38" i="4"/>
  <c r="Q40" i="4"/>
  <c r="M42" i="4"/>
  <c r="L50" i="4"/>
  <c r="P52" i="4"/>
  <c r="Q54" i="4"/>
  <c r="M55" i="4"/>
  <c r="W57" i="4"/>
  <c r="P19" i="4"/>
  <c r="P21" i="4"/>
  <c r="Q23" i="4"/>
  <c r="Q34" i="4"/>
  <c r="P40" i="4"/>
  <c r="P54" i="4"/>
  <c r="G57" i="4"/>
  <c r="F57" i="4"/>
  <c r="J57" i="4"/>
  <c r="J57" i="2"/>
  <c r="F57" i="2"/>
  <c r="V13" i="4"/>
  <c r="Q49" i="4"/>
  <c r="M49" i="4"/>
  <c r="P49" i="4"/>
  <c r="L49" i="4"/>
  <c r="M14" i="4"/>
  <c r="M13" i="4" s="1"/>
  <c r="Q14" i="4"/>
  <c r="Q13" i="4" s="1"/>
  <c r="L18" i="4"/>
  <c r="P18" i="4"/>
  <c r="N19" i="4"/>
  <c r="N21" i="4"/>
  <c r="Y32" i="4"/>
  <c r="Z32" i="4" s="1"/>
  <c r="T32" i="4" s="1"/>
  <c r="V39" i="4"/>
  <c r="V55" i="4"/>
  <c r="V48" i="4" s="1"/>
  <c r="R20" i="4"/>
  <c r="H57" i="4"/>
  <c r="N14" i="4"/>
  <c r="N13" i="4" s="1"/>
  <c r="R14" i="4"/>
  <c r="R13" i="4" s="1"/>
  <c r="L20" i="4"/>
  <c r="P20" i="4"/>
  <c r="L22" i="4"/>
  <c r="P22" i="4"/>
  <c r="Q26" i="4"/>
  <c r="M26" i="4"/>
  <c r="O26" i="4" s="1"/>
  <c r="P26" i="4"/>
  <c r="Q35" i="4"/>
  <c r="M35" i="4"/>
  <c r="P35" i="4"/>
  <c r="L35" i="4"/>
  <c r="N49" i="4"/>
  <c r="N20" i="4"/>
  <c r="N22" i="4"/>
  <c r="V33" i="4"/>
  <c r="E57" i="4"/>
  <c r="I57" i="4"/>
  <c r="U57" i="4"/>
  <c r="N18" i="4"/>
  <c r="M20" i="4"/>
  <c r="M22" i="4"/>
  <c r="R22" i="4"/>
  <c r="V25" i="4"/>
  <c r="R26" i="4"/>
  <c r="Q27" i="4"/>
  <c r="M27" i="4"/>
  <c r="O27" i="4" s="1"/>
  <c r="Y27" i="4" s="1"/>
  <c r="Z27" i="4" s="1"/>
  <c r="P27" i="4"/>
  <c r="Q28" i="4"/>
  <c r="M28" i="4"/>
  <c r="P28" i="4"/>
  <c r="R28" i="4"/>
  <c r="V29" i="4"/>
  <c r="V42" i="4"/>
  <c r="R49" i="4"/>
  <c r="V53" i="4"/>
  <c r="N23" i="4"/>
  <c r="L24" i="4"/>
  <c r="P24" i="4"/>
  <c r="N25" i="4"/>
  <c r="L29" i="4"/>
  <c r="P29" i="4"/>
  <c r="S29" i="4" s="1"/>
  <c r="M30" i="4"/>
  <c r="Q30" i="4"/>
  <c r="N31" i="4"/>
  <c r="L33" i="4"/>
  <c r="P33" i="4"/>
  <c r="N34" i="4"/>
  <c r="M36" i="4"/>
  <c r="Q36" i="4"/>
  <c r="N38" i="4"/>
  <c r="L39" i="4"/>
  <c r="P39" i="4"/>
  <c r="N40" i="4"/>
  <c r="O40" i="4" s="1"/>
  <c r="L42" i="4"/>
  <c r="P42" i="4"/>
  <c r="S42" i="4" s="1"/>
  <c r="M50" i="4"/>
  <c r="Q50" i="4"/>
  <c r="N52" i="4"/>
  <c r="L53" i="4"/>
  <c r="P53" i="4"/>
  <c r="N54" i="4"/>
  <c r="L55" i="4"/>
  <c r="P55" i="4"/>
  <c r="N30" i="4"/>
  <c r="N36" i="4"/>
  <c r="N50" i="4"/>
  <c r="N24" i="4"/>
  <c r="N29" i="4"/>
  <c r="N33" i="4"/>
  <c r="N39" i="4"/>
  <c r="N42" i="4"/>
  <c r="N53" i="4"/>
  <c r="N55" i="4"/>
  <c r="F57" i="3"/>
  <c r="J57" i="3"/>
  <c r="W57" i="3"/>
  <c r="H57" i="3"/>
  <c r="M42" i="3"/>
  <c r="Q42" i="3"/>
  <c r="N42" i="3"/>
  <c r="X57" i="3"/>
  <c r="V13" i="3"/>
  <c r="V40" i="3"/>
  <c r="M14" i="3"/>
  <c r="M13" i="3" s="1"/>
  <c r="Q14" i="3"/>
  <c r="Q13" i="3" s="1"/>
  <c r="L18" i="3"/>
  <c r="P18" i="3"/>
  <c r="N19" i="3"/>
  <c r="N21" i="3"/>
  <c r="P24" i="3"/>
  <c r="L24" i="3"/>
  <c r="O24" i="3" s="1"/>
  <c r="Y24" i="3" s="1"/>
  <c r="Z24" i="3" s="1"/>
  <c r="T24" i="3" s="1"/>
  <c r="M28" i="3"/>
  <c r="P35" i="3"/>
  <c r="L35" i="3"/>
  <c r="O35" i="3" s="1"/>
  <c r="Q35" i="3"/>
  <c r="O37" i="3"/>
  <c r="Y37" i="3" s="1"/>
  <c r="Z37" i="3" s="1"/>
  <c r="Q50" i="3"/>
  <c r="M50" i="3"/>
  <c r="D48" i="3"/>
  <c r="P50" i="3"/>
  <c r="L50" i="3"/>
  <c r="R50" i="3"/>
  <c r="R48" i="3" s="1"/>
  <c r="P52" i="3"/>
  <c r="L52" i="3"/>
  <c r="Q52" i="3"/>
  <c r="P54" i="3"/>
  <c r="L54" i="3"/>
  <c r="Q54" i="3"/>
  <c r="N20" i="3"/>
  <c r="N22" i="3"/>
  <c r="V33" i="3"/>
  <c r="N14" i="3"/>
  <c r="N13" i="3" s="1"/>
  <c r="M18" i="3"/>
  <c r="Q18" i="3"/>
  <c r="V18" i="3"/>
  <c r="L20" i="3"/>
  <c r="P20" i="3"/>
  <c r="L22" i="3"/>
  <c r="P22" i="3"/>
  <c r="V50" i="3"/>
  <c r="R20" i="3"/>
  <c r="R22" i="3"/>
  <c r="V29" i="3"/>
  <c r="V38" i="3"/>
  <c r="E57" i="3"/>
  <c r="I57" i="3"/>
  <c r="U57" i="3"/>
  <c r="L13" i="3"/>
  <c r="N18" i="3"/>
  <c r="M20" i="3"/>
  <c r="M22" i="3"/>
  <c r="P28" i="3"/>
  <c r="L28" i="3"/>
  <c r="Q28" i="3"/>
  <c r="Q29" i="3"/>
  <c r="M29" i="3"/>
  <c r="P29" i="3"/>
  <c r="L29" i="3"/>
  <c r="R29" i="3"/>
  <c r="P32" i="3"/>
  <c r="L32" i="3"/>
  <c r="Q32" i="3"/>
  <c r="Q33" i="3"/>
  <c r="M33" i="3"/>
  <c r="P33" i="3"/>
  <c r="L33" i="3"/>
  <c r="R33" i="3"/>
  <c r="S37" i="3"/>
  <c r="Q38" i="3"/>
  <c r="M38" i="3"/>
  <c r="P38" i="3"/>
  <c r="L38" i="3"/>
  <c r="R38" i="3"/>
  <c r="Q40" i="3"/>
  <c r="M40" i="3"/>
  <c r="P40" i="3"/>
  <c r="L40" i="3"/>
  <c r="R40" i="3"/>
  <c r="N23" i="3"/>
  <c r="O23" i="3" s="1"/>
  <c r="N25" i="3"/>
  <c r="M27" i="3"/>
  <c r="Q27" i="3"/>
  <c r="M30" i="3"/>
  <c r="Q30" i="3"/>
  <c r="N31" i="3"/>
  <c r="N34" i="3"/>
  <c r="M36" i="3"/>
  <c r="Q36" i="3"/>
  <c r="S36" i="3" s="1"/>
  <c r="N39" i="3"/>
  <c r="N49" i="3"/>
  <c r="M51" i="3"/>
  <c r="Q51" i="3"/>
  <c r="S51" i="3" s="1"/>
  <c r="M53" i="3"/>
  <c r="Q53" i="3"/>
  <c r="M55" i="3"/>
  <c r="Q55" i="3"/>
  <c r="N27" i="3"/>
  <c r="N30" i="3"/>
  <c r="N36" i="3"/>
  <c r="N53" i="3"/>
  <c r="N55" i="3"/>
  <c r="V24" i="2"/>
  <c r="Q26" i="2"/>
  <c r="M26" i="2"/>
  <c r="N26" i="2"/>
  <c r="L26" i="2"/>
  <c r="D17" i="2"/>
  <c r="R26" i="2"/>
  <c r="Q30" i="2"/>
  <c r="M30" i="2"/>
  <c r="N30" i="2"/>
  <c r="L30" i="2"/>
  <c r="R30" i="2"/>
  <c r="X57" i="2"/>
  <c r="V19" i="2"/>
  <c r="P26" i="2"/>
  <c r="P30" i="2"/>
  <c r="S12" i="2"/>
  <c r="S11" i="2" s="1"/>
  <c r="Q14" i="2"/>
  <c r="Q13" i="2" s="1"/>
  <c r="M14" i="2"/>
  <c r="M13" i="2" s="1"/>
  <c r="P14" i="2"/>
  <c r="L14" i="2"/>
  <c r="D13" i="2"/>
  <c r="V21" i="2"/>
  <c r="V29" i="2"/>
  <c r="Q32" i="2"/>
  <c r="M32" i="2"/>
  <c r="P32" i="2"/>
  <c r="E57" i="2"/>
  <c r="I57" i="2"/>
  <c r="U57" i="2"/>
  <c r="M12" i="2"/>
  <c r="M11" i="2" s="1"/>
  <c r="K17" i="2"/>
  <c r="N18" i="2"/>
  <c r="L19" i="2"/>
  <c r="P19" i="2"/>
  <c r="M20" i="2"/>
  <c r="Q20" i="2"/>
  <c r="L21" i="2"/>
  <c r="P21" i="2"/>
  <c r="M22" i="2"/>
  <c r="Q22" i="2"/>
  <c r="M24" i="2"/>
  <c r="Q27" i="2"/>
  <c r="M27" i="2"/>
  <c r="P27" i="2"/>
  <c r="Q28" i="2"/>
  <c r="M28" i="2"/>
  <c r="O28" i="2" s="1"/>
  <c r="P28" i="2"/>
  <c r="R32" i="2"/>
  <c r="Q35" i="2"/>
  <c r="M35" i="2"/>
  <c r="P35" i="2"/>
  <c r="V49" i="2"/>
  <c r="V48" i="2" s="1"/>
  <c r="Q55" i="2"/>
  <c r="M55" i="2"/>
  <c r="P55" i="2"/>
  <c r="L55" i="2"/>
  <c r="N20" i="2"/>
  <c r="Q21" i="2"/>
  <c r="N22" i="2"/>
  <c r="L32" i="2"/>
  <c r="Q36" i="2"/>
  <c r="M36" i="2"/>
  <c r="O36" i="2" s="1"/>
  <c r="P36" i="2"/>
  <c r="V39" i="2"/>
  <c r="Q53" i="2"/>
  <c r="M53" i="2"/>
  <c r="P53" i="2"/>
  <c r="L53" i="2"/>
  <c r="G57" i="2"/>
  <c r="W57" i="2"/>
  <c r="N19" i="2"/>
  <c r="N21" i="2"/>
  <c r="P24" i="2"/>
  <c r="L24" i="2"/>
  <c r="N32" i="2"/>
  <c r="R36" i="2"/>
  <c r="V37" i="2"/>
  <c r="V38" i="2"/>
  <c r="Q51" i="2"/>
  <c r="M51" i="2"/>
  <c r="P51" i="2"/>
  <c r="L51" i="2"/>
  <c r="N29" i="2"/>
  <c r="R29" i="2"/>
  <c r="S29" i="2" s="1"/>
  <c r="N33" i="2"/>
  <c r="R33" i="2"/>
  <c r="N38" i="2"/>
  <c r="R38" i="2"/>
  <c r="N40" i="2"/>
  <c r="R40" i="2"/>
  <c r="S40" i="2" s="1"/>
  <c r="N50" i="2"/>
  <c r="R50" i="2"/>
  <c r="R48" i="2" s="1"/>
  <c r="M52" i="2"/>
  <c r="Q52" i="2"/>
  <c r="M54" i="2"/>
  <c r="Q54" i="2"/>
  <c r="S54" i="2" s="1"/>
  <c r="N52" i="2"/>
  <c r="N54" i="2"/>
  <c r="N23" i="2"/>
  <c r="N25" i="2"/>
  <c r="O25" i="2" s="1"/>
  <c r="L29" i="2"/>
  <c r="N31" i="2"/>
  <c r="L33" i="2"/>
  <c r="N34" i="2"/>
  <c r="N37" i="2"/>
  <c r="O37" i="2" s="1"/>
  <c r="L38" i="2"/>
  <c r="N39" i="2"/>
  <c r="L40" i="2"/>
  <c r="N49" i="2"/>
  <c r="L50" i="2"/>
  <c r="M38" i="1"/>
  <c r="L23" i="1"/>
  <c r="M27" i="1"/>
  <c r="Q36" i="1"/>
  <c r="F57" i="1"/>
  <c r="J57" i="1"/>
  <c r="M14" i="1"/>
  <c r="M13" i="1" s="1"/>
  <c r="M19" i="1"/>
  <c r="Q23" i="1"/>
  <c r="L24" i="1"/>
  <c r="M30" i="1"/>
  <c r="L36" i="1"/>
  <c r="Q51" i="1"/>
  <c r="G57" i="1"/>
  <c r="M18" i="1"/>
  <c r="R23" i="1"/>
  <c r="N31" i="1"/>
  <c r="M36" i="1"/>
  <c r="L40" i="1"/>
  <c r="M54" i="1"/>
  <c r="P18" i="1"/>
  <c r="W57" i="1"/>
  <c r="Q14" i="1"/>
  <c r="Q13" i="1" s="1"/>
  <c r="Q18" i="1"/>
  <c r="N19" i="1"/>
  <c r="M23" i="1"/>
  <c r="N25" i="1"/>
  <c r="Q27" i="1"/>
  <c r="L29" i="1"/>
  <c r="Q30" i="1"/>
  <c r="L33" i="1"/>
  <c r="M34" i="1"/>
  <c r="P36" i="1"/>
  <c r="P40" i="1"/>
  <c r="M51" i="1"/>
  <c r="L52" i="1"/>
  <c r="Q54" i="1"/>
  <c r="R34" i="1"/>
  <c r="P52" i="1"/>
  <c r="P14" i="1"/>
  <c r="P13" i="1" s="1"/>
  <c r="X17" i="1"/>
  <c r="X57" i="1" s="1"/>
  <c r="P27" i="1"/>
  <c r="S27" i="1" s="1"/>
  <c r="P30" i="1"/>
  <c r="R31" i="1"/>
  <c r="P38" i="1"/>
  <c r="Q52" i="1"/>
  <c r="L14" i="1"/>
  <c r="L13" i="1" s="1"/>
  <c r="L18" i="1"/>
  <c r="P23" i="1"/>
  <c r="L27" i="1"/>
  <c r="P29" i="1"/>
  <c r="L30" i="1"/>
  <c r="P33" i="1"/>
  <c r="L38" i="1"/>
  <c r="P51" i="1"/>
  <c r="M52" i="1"/>
  <c r="L54" i="1"/>
  <c r="P21" i="1"/>
  <c r="L21" i="1"/>
  <c r="Q22" i="1"/>
  <c r="M22" i="1"/>
  <c r="P22" i="1"/>
  <c r="L22" i="1"/>
  <c r="V28" i="1"/>
  <c r="V32" i="1"/>
  <c r="P37" i="1"/>
  <c r="L37" i="1"/>
  <c r="M37" i="1"/>
  <c r="R37" i="1"/>
  <c r="Q12" i="1"/>
  <c r="Q11" i="1" s="1"/>
  <c r="M12" i="1"/>
  <c r="M11" i="1" s="1"/>
  <c r="P12" i="1"/>
  <c r="L12" i="1"/>
  <c r="K57" i="1"/>
  <c r="V18" i="1"/>
  <c r="R21" i="1"/>
  <c r="V22" i="1"/>
  <c r="Q49" i="1"/>
  <c r="M49" i="1"/>
  <c r="P49" i="1"/>
  <c r="L49" i="1"/>
  <c r="D48" i="1"/>
  <c r="N49" i="1"/>
  <c r="D11" i="1"/>
  <c r="N12" i="1"/>
  <c r="N11" i="1" s="1"/>
  <c r="P19" i="1"/>
  <c r="L19" i="1"/>
  <c r="Q19" i="1"/>
  <c r="Q20" i="1"/>
  <c r="M20" i="1"/>
  <c r="P20" i="1"/>
  <c r="L20" i="1"/>
  <c r="R20" i="1"/>
  <c r="M21" i="1"/>
  <c r="N22" i="1"/>
  <c r="V35" i="1"/>
  <c r="N37" i="1"/>
  <c r="Q21" i="1"/>
  <c r="R22" i="1"/>
  <c r="V20" i="1"/>
  <c r="N21" i="1"/>
  <c r="V26" i="1"/>
  <c r="Q37" i="1"/>
  <c r="N14" i="1"/>
  <c r="N13" i="1" s="1"/>
  <c r="R24" i="1"/>
  <c r="Q24" i="1"/>
  <c r="M24" i="1"/>
  <c r="P39" i="1"/>
  <c r="L39" i="1"/>
  <c r="Q39" i="1"/>
  <c r="V41" i="1"/>
  <c r="Y41" i="1" s="1"/>
  <c r="Z41" i="1" s="1"/>
  <c r="T41" i="1" s="1"/>
  <c r="H57" i="1"/>
  <c r="R14" i="1"/>
  <c r="R13" i="1" s="1"/>
  <c r="E57" i="1"/>
  <c r="I57" i="1"/>
  <c r="U57" i="1"/>
  <c r="N18" i="1"/>
  <c r="P24" i="1"/>
  <c r="P25" i="1"/>
  <c r="L25" i="1"/>
  <c r="Q25" i="1"/>
  <c r="Q26" i="1"/>
  <c r="M26" i="1"/>
  <c r="P26" i="1"/>
  <c r="L26" i="1"/>
  <c r="R26" i="1"/>
  <c r="Q28" i="1"/>
  <c r="M28" i="1"/>
  <c r="P28" i="1"/>
  <c r="L28" i="1"/>
  <c r="R28" i="1"/>
  <c r="P31" i="1"/>
  <c r="L31" i="1"/>
  <c r="Q31" i="1"/>
  <c r="Q32" i="1"/>
  <c r="M32" i="1"/>
  <c r="P32" i="1"/>
  <c r="L32" i="1"/>
  <c r="R32" i="1"/>
  <c r="P34" i="1"/>
  <c r="L34" i="1"/>
  <c r="O34" i="1" s="1"/>
  <c r="Y34" i="1" s="1"/>
  <c r="Z34" i="1" s="1"/>
  <c r="Q34" i="1"/>
  <c r="Q35" i="1"/>
  <c r="M35" i="1"/>
  <c r="P35" i="1"/>
  <c r="L35" i="1"/>
  <c r="R35" i="1"/>
  <c r="R39" i="1"/>
  <c r="V53" i="1"/>
  <c r="V55" i="1"/>
  <c r="N27" i="1"/>
  <c r="M29" i="1"/>
  <c r="Q29" i="1"/>
  <c r="N30" i="1"/>
  <c r="M33" i="1"/>
  <c r="Q33" i="1"/>
  <c r="N36" i="1"/>
  <c r="Q38" i="1"/>
  <c r="M40" i="1"/>
  <c r="Q40" i="1"/>
  <c r="M50" i="1"/>
  <c r="Q50" i="1"/>
  <c r="S50" i="1" s="1"/>
  <c r="N51" i="1"/>
  <c r="N52" i="1"/>
  <c r="L53" i="1"/>
  <c r="P53" i="1"/>
  <c r="N54" i="1"/>
  <c r="L55" i="1"/>
  <c r="P55" i="1"/>
  <c r="N29" i="1"/>
  <c r="N33" i="1"/>
  <c r="N38" i="1"/>
  <c r="N40" i="1"/>
  <c r="N50" i="1"/>
  <c r="M53" i="1"/>
  <c r="Q53" i="1"/>
  <c r="M55" i="1"/>
  <c r="Q55" i="1"/>
  <c r="N53" i="1"/>
  <c r="N55" i="1"/>
  <c r="S22" i="2" l="1"/>
  <c r="O21" i="3"/>
  <c r="Y21" i="3" s="1"/>
  <c r="Z21" i="3" s="1"/>
  <c r="D57" i="3"/>
  <c r="O34" i="2"/>
  <c r="Y34" i="2" s="1"/>
  <c r="Z34" i="2" s="1"/>
  <c r="T34" i="2" s="1"/>
  <c r="L48" i="4"/>
  <c r="O54" i="3"/>
  <c r="O54" i="4"/>
  <c r="S36" i="4"/>
  <c r="S26" i="3"/>
  <c r="S18" i="2"/>
  <c r="O31" i="2"/>
  <c r="Y31" i="2" s="1"/>
  <c r="Z31" i="2" s="1"/>
  <c r="T31" i="2" s="1"/>
  <c r="O32" i="3"/>
  <c r="Y32" i="3" s="1"/>
  <c r="Z32" i="3" s="1"/>
  <c r="O34" i="4"/>
  <c r="T13" i="6"/>
  <c r="O36" i="1"/>
  <c r="O39" i="1"/>
  <c r="Y39" i="1" s="1"/>
  <c r="Z39" i="1" s="1"/>
  <c r="S23" i="2"/>
  <c r="S38" i="2"/>
  <c r="S24" i="2"/>
  <c r="O28" i="3"/>
  <c r="Y28" i="3" s="1"/>
  <c r="Z28" i="3" s="1"/>
  <c r="S42" i="3"/>
  <c r="O21" i="4"/>
  <c r="Y21" i="4" s="1"/>
  <c r="Z21" i="4" s="1"/>
  <c r="T21" i="4" s="1"/>
  <c r="S39" i="3"/>
  <c r="O26" i="3"/>
  <c r="O35" i="2"/>
  <c r="O39" i="3"/>
  <c r="Y39" i="3" s="1"/>
  <c r="Z39" i="3" s="1"/>
  <c r="O31" i="3"/>
  <c r="Y31" i="3" s="1"/>
  <c r="Z31" i="3" s="1"/>
  <c r="S53" i="4"/>
  <c r="O31" i="4"/>
  <c r="S31" i="2"/>
  <c r="O54" i="1"/>
  <c r="S52" i="2"/>
  <c r="S33" i="2"/>
  <c r="S27" i="3"/>
  <c r="O19" i="3"/>
  <c r="Y19" i="3" s="1"/>
  <c r="Z19" i="3" s="1"/>
  <c r="T19" i="3" s="1"/>
  <c r="S50" i="4"/>
  <c r="S49" i="3"/>
  <c r="S25" i="2"/>
  <c r="V48" i="1"/>
  <c r="O40" i="3"/>
  <c r="L17" i="4"/>
  <c r="M48" i="4"/>
  <c r="R17" i="4"/>
  <c r="T39" i="1"/>
  <c r="T34" i="1"/>
  <c r="V17" i="1"/>
  <c r="S18" i="1"/>
  <c r="S35" i="2"/>
  <c r="S28" i="2"/>
  <c r="S30" i="2"/>
  <c r="N48" i="4"/>
  <c r="P17" i="4"/>
  <c r="Q17" i="4"/>
  <c r="Q57" i="4" s="1"/>
  <c r="S14" i="3"/>
  <c r="S13" i="3" s="1"/>
  <c r="O52" i="2"/>
  <c r="S21" i="3"/>
  <c r="S37" i="2"/>
  <c r="K57" i="3"/>
  <c r="V17" i="4"/>
  <c r="V57" i="4" s="1"/>
  <c r="S27" i="2"/>
  <c r="Q48" i="4"/>
  <c r="O40" i="2"/>
  <c r="Y40" i="2" s="1"/>
  <c r="Z40" i="2" s="1"/>
  <c r="T40" i="2" s="1"/>
  <c r="M48" i="2"/>
  <c r="O50" i="3"/>
  <c r="P48" i="4"/>
  <c r="N17" i="4"/>
  <c r="M17" i="4"/>
  <c r="R48" i="4"/>
  <c r="Z57" i="6"/>
  <c r="T57" i="6"/>
  <c r="Z57" i="5"/>
  <c r="T57" i="5"/>
  <c r="L48" i="3"/>
  <c r="D57" i="2"/>
  <c r="T43" i="4"/>
  <c r="S55" i="4"/>
  <c r="S33" i="4"/>
  <c r="S30" i="4"/>
  <c r="S20" i="4"/>
  <c r="O19" i="4"/>
  <c r="Y19" i="4" s="1"/>
  <c r="Z19" i="4" s="1"/>
  <c r="S34" i="4"/>
  <c r="O52" i="4"/>
  <c r="Y52" i="4" s="1"/>
  <c r="Z52" i="4" s="1"/>
  <c r="S39" i="4"/>
  <c r="O38" i="4"/>
  <c r="Y38" i="4" s="1"/>
  <c r="Z38" i="4" s="1"/>
  <c r="T38" i="4" s="1"/>
  <c r="S24" i="4"/>
  <c r="O23" i="4"/>
  <c r="Y23" i="4" s="1"/>
  <c r="Z23" i="4" s="1"/>
  <c r="T23" i="4" s="1"/>
  <c r="O28" i="4"/>
  <c r="Y28" i="4" s="1"/>
  <c r="Z28" i="4" s="1"/>
  <c r="T28" i="4" s="1"/>
  <c r="D57" i="4"/>
  <c r="S25" i="4"/>
  <c r="V17" i="3"/>
  <c r="S55" i="3"/>
  <c r="S53" i="3"/>
  <c r="O34" i="3"/>
  <c r="Y34" i="3" s="1"/>
  <c r="Z34" i="3" s="1"/>
  <c r="S30" i="3"/>
  <c r="O25" i="3"/>
  <c r="Y25" i="3" s="1"/>
  <c r="Z25" i="3" s="1"/>
  <c r="P13" i="3"/>
  <c r="O52" i="3"/>
  <c r="S24" i="3"/>
  <c r="S25" i="3"/>
  <c r="V48" i="3"/>
  <c r="O39" i="2"/>
  <c r="O33" i="2"/>
  <c r="Y33" i="2" s="1"/>
  <c r="Z33" i="2" s="1"/>
  <c r="T33" i="2" s="1"/>
  <c r="O23" i="2"/>
  <c r="Y23" i="2" s="1"/>
  <c r="Z23" i="2" s="1"/>
  <c r="O24" i="2"/>
  <c r="O53" i="2"/>
  <c r="Y53" i="2" s="1"/>
  <c r="Z53" i="2" s="1"/>
  <c r="T53" i="2" s="1"/>
  <c r="O27" i="2"/>
  <c r="Y27" i="2" s="1"/>
  <c r="Z27" i="2" s="1"/>
  <c r="T27" i="2" s="1"/>
  <c r="V17" i="2"/>
  <c r="S34" i="2"/>
  <c r="O52" i="1"/>
  <c r="S54" i="1"/>
  <c r="O23" i="1"/>
  <c r="O54" i="2"/>
  <c r="S36" i="2"/>
  <c r="O20" i="2"/>
  <c r="Y20" i="2" s="1"/>
  <c r="Z20" i="2" s="1"/>
  <c r="T20" i="2" s="1"/>
  <c r="O22" i="2"/>
  <c r="Q17" i="2"/>
  <c r="O36" i="3"/>
  <c r="O27" i="3"/>
  <c r="Y27" i="3" s="1"/>
  <c r="Z27" i="3" s="1"/>
  <c r="S40" i="3"/>
  <c r="S32" i="3"/>
  <c r="S29" i="3"/>
  <c r="N17" i="3"/>
  <c r="Q17" i="3"/>
  <c r="S54" i="3"/>
  <c r="P17" i="3"/>
  <c r="Y40" i="3"/>
  <c r="Z40" i="3" s="1"/>
  <c r="T40" i="3" s="1"/>
  <c r="O42" i="3"/>
  <c r="O55" i="4"/>
  <c r="O42" i="4"/>
  <c r="Y42" i="4" s="1"/>
  <c r="Z42" i="4" s="1"/>
  <c r="O30" i="4"/>
  <c r="Y30" i="4" s="1"/>
  <c r="Z30" i="4" s="1"/>
  <c r="T30" i="4" s="1"/>
  <c r="S19" i="4"/>
  <c r="S23" i="4"/>
  <c r="S52" i="4"/>
  <c r="S12" i="3"/>
  <c r="S11" i="3" s="1"/>
  <c r="P11" i="3"/>
  <c r="S23" i="3"/>
  <c r="R17" i="2"/>
  <c r="S28" i="3"/>
  <c r="M17" i="3"/>
  <c r="S35" i="3"/>
  <c r="L17" i="3"/>
  <c r="O14" i="3"/>
  <c r="O13" i="3" s="1"/>
  <c r="R57" i="4"/>
  <c r="O12" i="3"/>
  <c r="O11" i="3" s="1"/>
  <c r="L11" i="3"/>
  <c r="R17" i="3"/>
  <c r="R57" i="3" s="1"/>
  <c r="S12" i="4"/>
  <c r="S11" i="4" s="1"/>
  <c r="O12" i="4"/>
  <c r="O11" i="4" s="1"/>
  <c r="L11" i="4"/>
  <c r="O25" i="4"/>
  <c r="Y25" i="4" s="1"/>
  <c r="Z25" i="4" s="1"/>
  <c r="S40" i="4"/>
  <c r="S21" i="4"/>
  <c r="O50" i="4"/>
  <c r="Y50" i="4" s="1"/>
  <c r="Z50" i="4" s="1"/>
  <c r="T50" i="4" s="1"/>
  <c r="S54" i="4"/>
  <c r="O24" i="4"/>
  <c r="Y24" i="4" s="1"/>
  <c r="Z24" i="4" s="1"/>
  <c r="T24" i="4" s="1"/>
  <c r="K57" i="4"/>
  <c r="S38" i="4"/>
  <c r="S31" i="4"/>
  <c r="Y26" i="4"/>
  <c r="Z26" i="4" s="1"/>
  <c r="T26" i="4" s="1"/>
  <c r="Y54" i="4"/>
  <c r="Z54" i="4" s="1"/>
  <c r="T54" i="4" s="1"/>
  <c r="Y40" i="4"/>
  <c r="Z40" i="4" s="1"/>
  <c r="T40" i="4" s="1"/>
  <c r="Y31" i="4"/>
  <c r="Z31" i="4" s="1"/>
  <c r="T31" i="4" s="1"/>
  <c r="Y34" i="4"/>
  <c r="Z34" i="4" s="1"/>
  <c r="T34" i="4" s="1"/>
  <c r="O36" i="4"/>
  <c r="T27" i="4"/>
  <c r="O53" i="4"/>
  <c r="Y53" i="4" s="1"/>
  <c r="Z53" i="4" s="1"/>
  <c r="O39" i="4"/>
  <c r="S27" i="4"/>
  <c r="O35" i="4"/>
  <c r="O20" i="4"/>
  <c r="T19" i="4"/>
  <c r="S49" i="4"/>
  <c r="S28" i="4"/>
  <c r="S35" i="4"/>
  <c r="S26" i="4"/>
  <c r="S22" i="4"/>
  <c r="Y55" i="4"/>
  <c r="O14" i="4"/>
  <c r="S14" i="4"/>
  <c r="S13" i="4" s="1"/>
  <c r="O29" i="4"/>
  <c r="O18" i="4"/>
  <c r="O33" i="4"/>
  <c r="O22" i="4"/>
  <c r="S18" i="4"/>
  <c r="O49" i="4"/>
  <c r="O51" i="3"/>
  <c r="Y42" i="3"/>
  <c r="Z42" i="3" s="1"/>
  <c r="T42" i="3" s="1"/>
  <c r="R57" i="2"/>
  <c r="K57" i="2"/>
  <c r="Y23" i="3"/>
  <c r="Z23" i="3" s="1"/>
  <c r="T23" i="3" s="1"/>
  <c r="N48" i="3"/>
  <c r="Q48" i="3"/>
  <c r="O53" i="3"/>
  <c r="O49" i="3"/>
  <c r="O38" i="3"/>
  <c r="Y38" i="3" s="1"/>
  <c r="Z38" i="3" s="1"/>
  <c r="O33" i="3"/>
  <c r="Y33" i="3" s="1"/>
  <c r="Z33" i="3" s="1"/>
  <c r="Y26" i="3"/>
  <c r="Z26" i="3" s="1"/>
  <c r="T26" i="3" s="1"/>
  <c r="S22" i="3"/>
  <c r="S20" i="3"/>
  <c r="Y52" i="3"/>
  <c r="Z52" i="3" s="1"/>
  <c r="T52" i="3" s="1"/>
  <c r="S50" i="3"/>
  <c r="P48" i="3"/>
  <c r="Y36" i="3"/>
  <c r="Z36" i="3" s="1"/>
  <c r="T36" i="3" s="1"/>
  <c r="T21" i="3"/>
  <c r="O30" i="3"/>
  <c r="T37" i="3"/>
  <c r="T34" i="3"/>
  <c r="O18" i="3"/>
  <c r="S38" i="3"/>
  <c r="S33" i="3"/>
  <c r="T32" i="3"/>
  <c r="O29" i="3"/>
  <c r="Y29" i="3" s="1"/>
  <c r="Z29" i="3" s="1"/>
  <c r="Y50" i="3"/>
  <c r="Z50" i="3" s="1"/>
  <c r="T50" i="3" s="1"/>
  <c r="O22" i="3"/>
  <c r="O20" i="3"/>
  <c r="Y54" i="3"/>
  <c r="Z54" i="3" s="1"/>
  <c r="T54" i="3" s="1"/>
  <c r="S52" i="3"/>
  <c r="S48" i="3" s="1"/>
  <c r="Y35" i="3"/>
  <c r="Z35" i="3" s="1"/>
  <c r="T35" i="3" s="1"/>
  <c r="T31" i="3"/>
  <c r="O55" i="3"/>
  <c r="T28" i="3"/>
  <c r="Y18" i="3"/>
  <c r="M48" i="3"/>
  <c r="S18" i="3"/>
  <c r="Y36" i="2"/>
  <c r="Z36" i="2" s="1"/>
  <c r="T36" i="2" s="1"/>
  <c r="Y22" i="2"/>
  <c r="Z22" i="2" s="1"/>
  <c r="T22" i="2" s="1"/>
  <c r="Y35" i="2"/>
  <c r="Z35" i="2" s="1"/>
  <c r="T35" i="2" s="1"/>
  <c r="Y25" i="2"/>
  <c r="Z25" i="2" s="1"/>
  <c r="T25" i="2" s="1"/>
  <c r="Y54" i="2"/>
  <c r="Z54" i="2" s="1"/>
  <c r="M17" i="2"/>
  <c r="M57" i="2" s="1"/>
  <c r="O50" i="2"/>
  <c r="L48" i="2"/>
  <c r="O38" i="2"/>
  <c r="Y38" i="2" s="1"/>
  <c r="Z38" i="2" s="1"/>
  <c r="S53" i="2"/>
  <c r="O55" i="2"/>
  <c r="S21" i="2"/>
  <c r="S20" i="2"/>
  <c r="S14" i="2"/>
  <c r="S13" i="2" s="1"/>
  <c r="P13" i="2"/>
  <c r="S26" i="2"/>
  <c r="T23" i="2"/>
  <c r="N17" i="2"/>
  <c r="O14" i="2"/>
  <c r="L13" i="2"/>
  <c r="N48" i="2"/>
  <c r="O49" i="2"/>
  <c r="Y49" i="2" s="1"/>
  <c r="O29" i="2"/>
  <c r="Y29" i="2" s="1"/>
  <c r="Z29" i="2" s="1"/>
  <c r="O51" i="2"/>
  <c r="Y37" i="2"/>
  <c r="Z37" i="2" s="1"/>
  <c r="T37" i="2" s="1"/>
  <c r="Q48" i="2"/>
  <c r="Y39" i="2"/>
  <c r="Z39" i="2" s="1"/>
  <c r="T39" i="2" s="1"/>
  <c r="S55" i="2"/>
  <c r="O21" i="2"/>
  <c r="Y21" i="2" s="1"/>
  <c r="Z21" i="2" s="1"/>
  <c r="P17" i="2"/>
  <c r="S19" i="2"/>
  <c r="O12" i="2"/>
  <c r="O11" i="2" s="1"/>
  <c r="O26" i="2"/>
  <c r="Y24" i="2"/>
  <c r="Z24" i="2" s="1"/>
  <c r="T24" i="2" s="1"/>
  <c r="Y52" i="2"/>
  <c r="Z52" i="2" s="1"/>
  <c r="T52" i="2" s="1"/>
  <c r="S51" i="2"/>
  <c r="P48" i="2"/>
  <c r="O32" i="2"/>
  <c r="S50" i="2"/>
  <c r="L17" i="2"/>
  <c r="O19" i="2"/>
  <c r="Y19" i="2" s="1"/>
  <c r="Z19" i="2" s="1"/>
  <c r="S32" i="2"/>
  <c r="O30" i="2"/>
  <c r="Y28" i="2"/>
  <c r="Z28" i="2" s="1"/>
  <c r="T28" i="2" s="1"/>
  <c r="O18" i="2"/>
  <c r="O31" i="1"/>
  <c r="S36" i="1"/>
  <c r="O30" i="1"/>
  <c r="S29" i="1"/>
  <c r="O38" i="1"/>
  <c r="S40" i="1"/>
  <c r="S33" i="1"/>
  <c r="S24" i="1"/>
  <c r="S38" i="1"/>
  <c r="S35" i="1"/>
  <c r="S32" i="1"/>
  <c r="S28" i="1"/>
  <c r="S14" i="1"/>
  <c r="S13" i="1" s="1"/>
  <c r="S23" i="1"/>
  <c r="O53" i="1"/>
  <c r="O50" i="1"/>
  <c r="S34" i="1"/>
  <c r="S31" i="1"/>
  <c r="O24" i="1"/>
  <c r="S51" i="1"/>
  <c r="S30" i="1"/>
  <c r="S52" i="1"/>
  <c r="Y53" i="1"/>
  <c r="Z53" i="1" s="1"/>
  <c r="O51" i="1"/>
  <c r="O33" i="1"/>
  <c r="O27" i="1"/>
  <c r="O25" i="1"/>
  <c r="S39" i="1"/>
  <c r="R17" i="1"/>
  <c r="S20" i="1"/>
  <c r="D57" i="1"/>
  <c r="O29" i="1"/>
  <c r="S53" i="1"/>
  <c r="O28" i="1"/>
  <c r="Y28" i="1" s="1"/>
  <c r="Z28" i="1" s="1"/>
  <c r="S25" i="1"/>
  <c r="Y54" i="1"/>
  <c r="Z54" i="1" s="1"/>
  <c r="T54" i="1" s="1"/>
  <c r="R57" i="1"/>
  <c r="Y36" i="1"/>
  <c r="Z36" i="1" s="1"/>
  <c r="T36" i="1" s="1"/>
  <c r="M17" i="1"/>
  <c r="S19" i="1"/>
  <c r="P17" i="1"/>
  <c r="S49" i="1"/>
  <c r="P48" i="1"/>
  <c r="O37" i="1"/>
  <c r="O55" i="1"/>
  <c r="O26" i="1"/>
  <c r="N48" i="1"/>
  <c r="M48" i="1"/>
  <c r="L11" i="1"/>
  <c r="O12" i="1"/>
  <c r="O11" i="1" s="1"/>
  <c r="S37" i="1"/>
  <c r="O22" i="1"/>
  <c r="O21" i="1"/>
  <c r="N17" i="1"/>
  <c r="O18" i="1"/>
  <c r="O19" i="1"/>
  <c r="L17" i="1"/>
  <c r="O49" i="1"/>
  <c r="L48" i="1"/>
  <c r="S55" i="1"/>
  <c r="O40" i="1"/>
  <c r="O35" i="1"/>
  <c r="O32" i="1"/>
  <c r="S26" i="1"/>
  <c r="Y52" i="1"/>
  <c r="Z52" i="1" s="1"/>
  <c r="O20" i="1"/>
  <c r="Q17" i="1"/>
  <c r="O14" i="1"/>
  <c r="Q48" i="1"/>
  <c r="P11" i="1"/>
  <c r="S12" i="1"/>
  <c r="S11" i="1" s="1"/>
  <c r="S22" i="1"/>
  <c r="S21" i="1"/>
  <c r="T52" i="4" l="1"/>
  <c r="S17" i="4"/>
  <c r="V57" i="3"/>
  <c r="M57" i="1"/>
  <c r="T39" i="3"/>
  <c r="T27" i="3"/>
  <c r="N57" i="1"/>
  <c r="Y14" i="3"/>
  <c r="Y13" i="3" s="1"/>
  <c r="N57" i="3"/>
  <c r="Y27" i="1"/>
  <c r="Z27" i="1" s="1"/>
  <c r="T27" i="1" s="1"/>
  <c r="Y20" i="1"/>
  <c r="Z20" i="1" s="1"/>
  <c r="T20" i="1" s="1"/>
  <c r="Y26" i="1"/>
  <c r="Z26" i="1" s="1"/>
  <c r="T26" i="1" s="1"/>
  <c r="Y25" i="1"/>
  <c r="Z25" i="1" s="1"/>
  <c r="T25" i="1" s="1"/>
  <c r="Y24" i="1"/>
  <c r="Z24" i="1" s="1"/>
  <c r="T24" i="1" s="1"/>
  <c r="Y32" i="1"/>
  <c r="Z32" i="1" s="1"/>
  <c r="T32" i="1" s="1"/>
  <c r="Y18" i="1"/>
  <c r="Y51" i="1"/>
  <c r="Z51" i="1" s="1"/>
  <c r="T51" i="1" s="1"/>
  <c r="Y50" i="1"/>
  <c r="Z50" i="1" s="1"/>
  <c r="T50" i="1" s="1"/>
  <c r="Y23" i="1"/>
  <c r="Z23" i="1" s="1"/>
  <c r="T23" i="1" s="1"/>
  <c r="S48" i="2"/>
  <c r="S17" i="3"/>
  <c r="P57" i="3"/>
  <c r="Y22" i="1"/>
  <c r="Z22" i="1" s="1"/>
  <c r="T22" i="1" s="1"/>
  <c r="Y33" i="1"/>
  <c r="Z33" i="1" s="1"/>
  <c r="T33" i="1" s="1"/>
  <c r="Y38" i="1"/>
  <c r="Z38" i="1" s="1"/>
  <c r="T38" i="1" s="1"/>
  <c r="Y31" i="1"/>
  <c r="Z31" i="1" s="1"/>
  <c r="T31" i="1" s="1"/>
  <c r="O48" i="4"/>
  <c r="T54" i="2"/>
  <c r="S48" i="4"/>
  <c r="L57" i="3"/>
  <c r="T52" i="1"/>
  <c r="Y30" i="1"/>
  <c r="Z30" i="1" s="1"/>
  <c r="T30" i="1" s="1"/>
  <c r="Y18" i="4"/>
  <c r="O17" i="4"/>
  <c r="T28" i="1"/>
  <c r="T53" i="1"/>
  <c r="Z55" i="4"/>
  <c r="Y55" i="1"/>
  <c r="Z55" i="1" s="1"/>
  <c r="T55" i="1" s="1"/>
  <c r="P57" i="4"/>
  <c r="T42" i="4"/>
  <c r="T25" i="3"/>
  <c r="Q57" i="2"/>
  <c r="N57" i="2"/>
  <c r="S17" i="2"/>
  <c r="P38" i="13"/>
  <c r="T25" i="4"/>
  <c r="O17" i="3"/>
  <c r="M57" i="4"/>
  <c r="Y39" i="4"/>
  <c r="Z39" i="4" s="1"/>
  <c r="T39" i="4" s="1"/>
  <c r="L57" i="4"/>
  <c r="N57" i="4"/>
  <c r="Y20" i="4"/>
  <c r="Z20" i="4" s="1"/>
  <c r="T20" i="4" s="1"/>
  <c r="Y49" i="4"/>
  <c r="Y48" i="4" s="1"/>
  <c r="O13" i="4"/>
  <c r="Y14" i="4"/>
  <c r="Y33" i="4"/>
  <c r="Z33" i="4" s="1"/>
  <c r="T33" i="4" s="1"/>
  <c r="Y35" i="4"/>
  <c r="Z35" i="4" s="1"/>
  <c r="T35" i="4" s="1"/>
  <c r="Y22" i="4"/>
  <c r="Z22" i="4" s="1"/>
  <c r="T22" i="4" s="1"/>
  <c r="Y36" i="4"/>
  <c r="Z36" i="4" s="1"/>
  <c r="T36" i="4" s="1"/>
  <c r="Y29" i="4"/>
  <c r="Z29" i="4" s="1"/>
  <c r="T29" i="4" s="1"/>
  <c r="T53" i="4"/>
  <c r="Q57" i="3"/>
  <c r="Y51" i="3"/>
  <c r="Z51" i="3" s="1"/>
  <c r="T51" i="3" s="1"/>
  <c r="P57" i="2"/>
  <c r="Y22" i="3"/>
  <c r="Z22" i="3" s="1"/>
  <c r="T22" i="3" s="1"/>
  <c r="Y53" i="3"/>
  <c r="Z53" i="3" s="1"/>
  <c r="T53" i="3" s="1"/>
  <c r="Y30" i="3"/>
  <c r="Z30" i="3" s="1"/>
  <c r="T30" i="3" s="1"/>
  <c r="T33" i="3"/>
  <c r="S57" i="3"/>
  <c r="Z18" i="3"/>
  <c r="Y55" i="3"/>
  <c r="Z55" i="3" s="1"/>
  <c r="T55" i="3" s="1"/>
  <c r="T29" i="3"/>
  <c r="M57" i="3"/>
  <c r="T38" i="3"/>
  <c r="Z14" i="3"/>
  <c r="Y20" i="3"/>
  <c r="Z20" i="3" s="1"/>
  <c r="T20" i="3" s="1"/>
  <c r="O48" i="3"/>
  <c r="Y49" i="3"/>
  <c r="Z49" i="2"/>
  <c r="T49" i="2" s="1"/>
  <c r="V57" i="2"/>
  <c r="S49" i="13" s="1"/>
  <c r="Y51" i="2"/>
  <c r="Z51" i="2" s="1"/>
  <c r="T51" i="2" s="1"/>
  <c r="L57" i="2"/>
  <c r="T38" i="2"/>
  <c r="Y30" i="2"/>
  <c r="Z30" i="2" s="1"/>
  <c r="T30" i="2" s="1"/>
  <c r="Y26" i="2"/>
  <c r="Z26" i="2" s="1"/>
  <c r="T26" i="2" s="1"/>
  <c r="O17" i="2"/>
  <c r="Y18" i="2"/>
  <c r="Y32" i="2"/>
  <c r="Z32" i="2" s="1"/>
  <c r="T32" i="2" s="1"/>
  <c r="T21" i="2"/>
  <c r="T29" i="2"/>
  <c r="O13" i="2"/>
  <c r="Y14" i="2"/>
  <c r="Y55" i="2"/>
  <c r="Z55" i="2" s="1"/>
  <c r="T55" i="2" s="1"/>
  <c r="T19" i="2"/>
  <c r="O48" i="2"/>
  <c r="Y50" i="2"/>
  <c r="Z50" i="2" s="1"/>
  <c r="T50" i="2" s="1"/>
  <c r="S17" i="1"/>
  <c r="Y29" i="1"/>
  <c r="Z29" i="1" s="1"/>
  <c r="T29" i="1" s="1"/>
  <c r="Q57" i="1"/>
  <c r="Z18" i="1"/>
  <c r="T18" i="1" s="1"/>
  <c r="O13" i="1"/>
  <c r="Y14" i="1"/>
  <c r="Y19" i="1"/>
  <c r="Z19" i="1" s="1"/>
  <c r="T19" i="1" s="1"/>
  <c r="P57" i="1"/>
  <c r="Y40" i="1"/>
  <c r="Z40" i="1" s="1"/>
  <c r="T40" i="1" s="1"/>
  <c r="Y21" i="1"/>
  <c r="Z21" i="1" s="1"/>
  <c r="T21" i="1" s="1"/>
  <c r="L57" i="1"/>
  <c r="Y49" i="1"/>
  <c r="O48" i="1"/>
  <c r="O17" i="1"/>
  <c r="Y37" i="1"/>
  <c r="Z37" i="1" s="1"/>
  <c r="T37" i="1" s="1"/>
  <c r="S48" i="1"/>
  <c r="S57" i="1" s="1"/>
  <c r="Y35" i="1"/>
  <c r="Z35" i="1" s="1"/>
  <c r="T35" i="1" s="1"/>
  <c r="V57" i="1"/>
  <c r="R43" i="13"/>
  <c r="R13" i="13"/>
  <c r="R15" i="13"/>
  <c r="T17" i="13"/>
  <c r="U17" i="13"/>
  <c r="T18" i="13"/>
  <c r="U18" i="13"/>
  <c r="T19" i="13"/>
  <c r="U19" i="13"/>
  <c r="V19" i="13"/>
  <c r="W19" i="13"/>
  <c r="T20" i="13"/>
  <c r="U20" i="13"/>
  <c r="T21" i="13"/>
  <c r="U21" i="13"/>
  <c r="T22" i="13"/>
  <c r="U22" i="13"/>
  <c r="W22" i="13"/>
  <c r="T23" i="13"/>
  <c r="U23" i="13"/>
  <c r="T24" i="13"/>
  <c r="U24" i="13"/>
  <c r="V24" i="13"/>
  <c r="W24" i="13"/>
  <c r="T25" i="13"/>
  <c r="U25" i="13"/>
  <c r="T26" i="13"/>
  <c r="U26" i="13"/>
  <c r="T27" i="13"/>
  <c r="U27" i="13"/>
  <c r="V27" i="13"/>
  <c r="W27" i="13"/>
  <c r="T28" i="13"/>
  <c r="U28" i="13"/>
  <c r="V28" i="13"/>
  <c r="T29" i="13"/>
  <c r="U29" i="13"/>
  <c r="T30" i="13"/>
  <c r="U30" i="13"/>
  <c r="T31" i="13"/>
  <c r="U31" i="13"/>
  <c r="T32" i="13"/>
  <c r="U32" i="13"/>
  <c r="T33" i="13"/>
  <c r="U33" i="13"/>
  <c r="T34" i="13"/>
  <c r="U34" i="13"/>
  <c r="T35" i="13"/>
  <c r="U35" i="13"/>
  <c r="T36" i="13"/>
  <c r="U36" i="13"/>
  <c r="V36" i="13"/>
  <c r="W36" i="13"/>
  <c r="T37" i="13"/>
  <c r="U37" i="13"/>
  <c r="T38" i="13"/>
  <c r="U38" i="13"/>
  <c r="V38" i="13"/>
  <c r="T39" i="13"/>
  <c r="U39" i="13"/>
  <c r="V39" i="13"/>
  <c r="T40" i="13"/>
  <c r="U40" i="13"/>
  <c r="V40" i="13"/>
  <c r="W40" i="13"/>
  <c r="T41" i="13"/>
  <c r="U41" i="13"/>
  <c r="T42" i="13"/>
  <c r="U42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E28" i="13"/>
  <c r="F28" i="13"/>
  <c r="G28" i="13"/>
  <c r="H28" i="13"/>
  <c r="I28" i="13"/>
  <c r="J28" i="13"/>
  <c r="K28" i="13"/>
  <c r="L28" i="13"/>
  <c r="M28" i="13"/>
  <c r="N28" i="13"/>
  <c r="O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E38" i="13"/>
  <c r="F38" i="13"/>
  <c r="G38" i="13"/>
  <c r="H38" i="13"/>
  <c r="I38" i="13"/>
  <c r="J38" i="13"/>
  <c r="K38" i="13"/>
  <c r="L38" i="13"/>
  <c r="M38" i="13"/>
  <c r="N38" i="13"/>
  <c r="O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T44" i="13"/>
  <c r="S45" i="13"/>
  <c r="S46" i="13"/>
  <c r="S47" i="13"/>
  <c r="S48" i="13"/>
  <c r="S51" i="13"/>
  <c r="S52" i="13"/>
  <c r="S44" i="13"/>
  <c r="P45" i="13"/>
  <c r="P46" i="13"/>
  <c r="P47" i="13"/>
  <c r="P48" i="13"/>
  <c r="P51" i="13"/>
  <c r="P52" i="13"/>
  <c r="P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O44" i="13"/>
  <c r="N44" i="13"/>
  <c r="M44" i="13"/>
  <c r="T45" i="13"/>
  <c r="T46" i="13"/>
  <c r="T47" i="13"/>
  <c r="T48" i="13"/>
  <c r="T49" i="13"/>
  <c r="T50" i="13"/>
  <c r="T51" i="13"/>
  <c r="T52" i="13"/>
  <c r="T16" i="13"/>
  <c r="U16" i="13"/>
  <c r="U44" i="13"/>
  <c r="U45" i="13"/>
  <c r="U46" i="13"/>
  <c r="U47" i="13"/>
  <c r="U48" i="13"/>
  <c r="U49" i="13"/>
  <c r="U50" i="13"/>
  <c r="U51" i="13"/>
  <c r="U52" i="13"/>
  <c r="U14" i="13"/>
  <c r="U13" i="13" s="1"/>
  <c r="V45" i="13"/>
  <c r="V47" i="13"/>
  <c r="V51" i="13"/>
  <c r="V52" i="13"/>
  <c r="W45" i="13"/>
  <c r="W46" i="13"/>
  <c r="W51" i="13"/>
  <c r="W52" i="13"/>
  <c r="W33" i="13" l="1"/>
  <c r="V16" i="13"/>
  <c r="W26" i="13"/>
  <c r="V44" i="13"/>
  <c r="V26" i="13"/>
  <c r="V25" i="13"/>
  <c r="T17" i="1"/>
  <c r="W30" i="13"/>
  <c r="Z18" i="4"/>
  <c r="Y17" i="4"/>
  <c r="S57" i="2"/>
  <c r="S50" i="13"/>
  <c r="T55" i="4"/>
  <c r="W21" i="13"/>
  <c r="V32" i="13"/>
  <c r="W47" i="13"/>
  <c r="V46" i="13"/>
  <c r="W32" i="13"/>
  <c r="V30" i="13"/>
  <c r="V22" i="13"/>
  <c r="W25" i="13"/>
  <c r="W28" i="13"/>
  <c r="W38" i="13"/>
  <c r="V34" i="13"/>
  <c r="S57" i="4"/>
  <c r="V21" i="13"/>
  <c r="O57" i="2"/>
  <c r="W48" i="13"/>
  <c r="V48" i="13"/>
  <c r="W29" i="13"/>
  <c r="Y17" i="3"/>
  <c r="Z17" i="3"/>
  <c r="W18" i="13"/>
  <c r="O43" i="13"/>
  <c r="N43" i="13"/>
  <c r="M43" i="13"/>
  <c r="W23" i="13"/>
  <c r="W39" i="13"/>
  <c r="W34" i="13"/>
  <c r="W31" i="13"/>
  <c r="V23" i="13"/>
  <c r="V33" i="13"/>
  <c r="V31" i="13"/>
  <c r="Z14" i="4"/>
  <c r="Y13" i="4"/>
  <c r="O57" i="4"/>
  <c r="Z49" i="4"/>
  <c r="Z48" i="4" s="1"/>
  <c r="O57" i="3"/>
  <c r="P49" i="13" s="1"/>
  <c r="Q49" i="13" s="1"/>
  <c r="W37" i="13"/>
  <c r="V18" i="13"/>
  <c r="Z13" i="3"/>
  <c r="T14" i="3"/>
  <c r="T13" i="3" s="1"/>
  <c r="Z49" i="3"/>
  <c r="Y48" i="3"/>
  <c r="T18" i="3"/>
  <c r="T17" i="3" s="1"/>
  <c r="T48" i="2"/>
  <c r="Y17" i="2"/>
  <c r="Z18" i="2"/>
  <c r="Y13" i="2"/>
  <c r="Z14" i="2"/>
  <c r="Z48" i="2"/>
  <c r="Y48" i="2"/>
  <c r="W35" i="13"/>
  <c r="V35" i="13"/>
  <c r="Q51" i="13"/>
  <c r="Q47" i="13"/>
  <c r="U43" i="13"/>
  <c r="T43" i="13"/>
  <c r="U15" i="13"/>
  <c r="Q46" i="13"/>
  <c r="P43" i="13"/>
  <c r="Q45" i="13"/>
  <c r="V37" i="13"/>
  <c r="V29" i="13"/>
  <c r="T15" i="13"/>
  <c r="O57" i="1"/>
  <c r="S43" i="13"/>
  <c r="Q52" i="13"/>
  <c r="Q48" i="13"/>
  <c r="V17" i="13"/>
  <c r="W20" i="13"/>
  <c r="V20" i="13"/>
  <c r="Y48" i="1"/>
  <c r="Z49" i="1"/>
  <c r="T49" i="1" s="1"/>
  <c r="T48" i="1" s="1"/>
  <c r="T57" i="1" s="1"/>
  <c r="Z14" i="1"/>
  <c r="T14" i="1" s="1"/>
  <c r="T13" i="1" s="1"/>
  <c r="Y13" i="1"/>
  <c r="Z17" i="1"/>
  <c r="W17" i="13"/>
  <c r="Y17" i="1"/>
  <c r="V43" i="13" l="1"/>
  <c r="Z17" i="4"/>
  <c r="T18" i="4"/>
  <c r="T17" i="4" s="1"/>
  <c r="Y57" i="4"/>
  <c r="P50" i="13"/>
  <c r="Q50" i="13" s="1"/>
  <c r="V42" i="13"/>
  <c r="T49" i="4"/>
  <c r="T48" i="4" s="1"/>
  <c r="Z13" i="4"/>
  <c r="T14" i="4"/>
  <c r="T13" i="4" s="1"/>
  <c r="V41" i="13"/>
  <c r="Y57" i="3"/>
  <c r="Z48" i="3"/>
  <c r="W41" i="13" s="1"/>
  <c r="T49" i="3"/>
  <c r="T48" i="3" s="1"/>
  <c r="T57" i="3" s="1"/>
  <c r="Y57" i="2"/>
  <c r="Z17" i="2"/>
  <c r="T18" i="2"/>
  <c r="T17" i="2" s="1"/>
  <c r="W16" i="13"/>
  <c r="W15" i="13" s="1"/>
  <c r="Z13" i="2"/>
  <c r="T14" i="2"/>
  <c r="T13" i="2" s="1"/>
  <c r="Y57" i="1"/>
  <c r="V15" i="13"/>
  <c r="Z13" i="1"/>
  <c r="Z48" i="1"/>
  <c r="W44" i="13"/>
  <c r="W43" i="13" s="1"/>
  <c r="Z57" i="3" l="1"/>
  <c r="V49" i="13"/>
  <c r="Z57" i="4"/>
  <c r="V50" i="13"/>
  <c r="W42" i="13"/>
  <c r="T57" i="4"/>
  <c r="Z57" i="2"/>
  <c r="T57" i="2"/>
  <c r="Z57" i="1"/>
  <c r="W50" i="13" l="1"/>
  <c r="W49" i="13"/>
  <c r="P42" i="13" l="1"/>
  <c r="S42" i="13" l="1"/>
  <c r="X42" i="13" s="1"/>
  <c r="Y42" i="13" s="1"/>
  <c r="Q42" i="13"/>
  <c r="S41" i="13" l="1"/>
  <c r="P41" i="13"/>
  <c r="Q41" i="13" s="1"/>
  <c r="X41" i="13" l="1"/>
  <c r="Y41" i="13" s="1"/>
  <c r="S40" i="13" l="1"/>
  <c r="S39" i="13"/>
  <c r="P39" i="13" l="1"/>
  <c r="X39" i="13" s="1"/>
  <c r="Y39" i="13" s="1"/>
  <c r="P40" i="13"/>
  <c r="Q40" i="13" s="1"/>
  <c r="X40" i="13" l="1"/>
  <c r="Y40" i="13" s="1"/>
  <c r="Q39" i="13"/>
  <c r="Y11" i="13" l="1"/>
  <c r="X11" i="13"/>
  <c r="T14" i="13"/>
  <c r="T13" i="13" s="1"/>
  <c r="W11" i="13"/>
  <c r="V11" i="13"/>
  <c r="U11" i="13"/>
  <c r="T11" i="13"/>
  <c r="I44" i="13"/>
  <c r="I43" i="13" s="1"/>
  <c r="L44" i="13"/>
  <c r="L43" i="13" s="1"/>
  <c r="I14" i="13"/>
  <c r="I13" i="13" s="1"/>
  <c r="L14" i="13"/>
  <c r="L13" i="13" s="1"/>
  <c r="M14" i="13"/>
  <c r="M13" i="13" s="1"/>
  <c r="N14" i="13"/>
  <c r="N13" i="13" s="1"/>
  <c r="O14" i="13"/>
  <c r="O13" i="13" s="1"/>
  <c r="N16" i="13"/>
  <c r="N15" i="13" s="1"/>
  <c r="L16" i="13"/>
  <c r="L15" i="13" s="1"/>
  <c r="O16" i="13"/>
  <c r="O15" i="13" s="1"/>
  <c r="M16" i="13"/>
  <c r="M15" i="13" s="1"/>
  <c r="K16" i="13"/>
  <c r="K15" i="13" s="1"/>
  <c r="K14" i="13" l="1"/>
  <c r="K13" i="13" s="1"/>
  <c r="K44" i="13"/>
  <c r="K43" i="13" s="1"/>
  <c r="J14" i="13"/>
  <c r="J13" i="13" s="1"/>
  <c r="J44" i="13"/>
  <c r="J43" i="13" s="1"/>
  <c r="J16" i="13"/>
  <c r="J15" i="13" s="1"/>
  <c r="S38" i="13"/>
  <c r="X38" i="13" s="1"/>
  <c r="Y38" i="13" s="1"/>
  <c r="G14" i="13"/>
  <c r="G13" i="13" s="1"/>
  <c r="H44" i="13"/>
  <c r="H43" i="13" s="1"/>
  <c r="H14" i="13"/>
  <c r="H13" i="13" s="1"/>
  <c r="T53" i="13" l="1"/>
  <c r="S37" i="13" l="1"/>
  <c r="X51" i="13" l="1"/>
  <c r="Y51" i="13" s="1"/>
  <c r="P37" i="13" l="1"/>
  <c r="X37" i="13" s="1"/>
  <c r="Y37" i="13" s="1"/>
  <c r="G44" i="13" l="1"/>
  <c r="G43" i="13" s="1"/>
  <c r="U53" i="13" l="1"/>
  <c r="E44" i="13"/>
  <c r="E43" i="13" s="1"/>
  <c r="D44" i="13"/>
  <c r="D43" i="13" s="1"/>
  <c r="D16" i="13"/>
  <c r="D15" i="13" s="1"/>
  <c r="E14" i="13" l="1"/>
  <c r="E13" i="13" s="1"/>
  <c r="F44" i="13"/>
  <c r="F43" i="13" s="1"/>
  <c r="D14" i="13"/>
  <c r="D13" i="13" s="1"/>
  <c r="F14" i="13"/>
  <c r="F13" i="13" s="1"/>
  <c r="X50" i="13" l="1"/>
  <c r="Y50" i="13" s="1"/>
  <c r="S27" i="13"/>
  <c r="S36" i="13"/>
  <c r="S32" i="13"/>
  <c r="S28" i="13"/>
  <c r="S24" i="13"/>
  <c r="S20" i="13"/>
  <c r="S16" i="13"/>
  <c r="S31" i="13"/>
  <c r="S19" i="13"/>
  <c r="S33" i="13"/>
  <c r="S29" i="13"/>
  <c r="S25" i="13"/>
  <c r="S21" i="13"/>
  <c r="S17" i="13"/>
  <c r="S35" i="13"/>
  <c r="S23" i="13"/>
  <c r="S34" i="13"/>
  <c r="S30" i="13"/>
  <c r="S26" i="13"/>
  <c r="S22" i="13"/>
  <c r="S18" i="13"/>
  <c r="G39" i="14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I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J30" i="14"/>
  <c r="K30" i="14"/>
  <c r="L30" i="14"/>
  <c r="M30" i="14"/>
  <c r="N30" i="14"/>
  <c r="O30" i="14"/>
  <c r="D38" i="14"/>
  <c r="E38" i="14"/>
  <c r="G38" i="14"/>
  <c r="H38" i="14"/>
  <c r="I38" i="14"/>
  <c r="L38" i="14"/>
  <c r="M38" i="14"/>
  <c r="N38" i="14"/>
  <c r="O38" i="14"/>
  <c r="D39" i="14"/>
  <c r="E39" i="14"/>
  <c r="H39" i="14"/>
  <c r="I39" i="14"/>
  <c r="J39" i="14"/>
  <c r="K39" i="14"/>
  <c r="L39" i="14"/>
  <c r="S15" i="13" l="1"/>
  <c r="P12" i="13"/>
  <c r="X44" i="13"/>
  <c r="P14" i="13"/>
  <c r="P13" i="13" s="1"/>
  <c r="X45" i="13"/>
  <c r="Y45" i="13" s="1"/>
  <c r="X46" i="13"/>
  <c r="Y46" i="13" s="1"/>
  <c r="X47" i="13"/>
  <c r="Y47" i="13" s="1"/>
  <c r="X48" i="13"/>
  <c r="Y48" i="13" s="1"/>
  <c r="G48" i="14"/>
  <c r="D36" i="14"/>
  <c r="P19" i="13"/>
  <c r="X19" i="13" s="1"/>
  <c r="Y19" i="13" s="1"/>
  <c r="H19" i="14"/>
  <c r="P20" i="13"/>
  <c r="X20" i="13" s="1"/>
  <c r="Y20" i="13" s="1"/>
  <c r="P26" i="13"/>
  <c r="X26" i="13" s="1"/>
  <c r="Y26" i="13" s="1"/>
  <c r="P34" i="13"/>
  <c r="X34" i="13" s="1"/>
  <c r="Y34" i="13" s="1"/>
  <c r="P16" i="13"/>
  <c r="P35" i="13"/>
  <c r="X35" i="13" s="1"/>
  <c r="P28" i="13"/>
  <c r="X28" i="13" s="1"/>
  <c r="Y28" i="13" s="1"/>
  <c r="P36" i="13"/>
  <c r="X36" i="13" s="1"/>
  <c r="Y36" i="13" s="1"/>
  <c r="P29" i="13"/>
  <c r="X29" i="13" s="1"/>
  <c r="Y29" i="13" s="1"/>
  <c r="P22" i="13"/>
  <c r="X22" i="13" s="1"/>
  <c r="Y22" i="13" s="1"/>
  <c r="P30" i="13"/>
  <c r="X30" i="13" s="1"/>
  <c r="Y30" i="13" s="1"/>
  <c r="P17" i="13"/>
  <c r="X17" i="13" s="1"/>
  <c r="Y17" i="13" s="1"/>
  <c r="P33" i="13"/>
  <c r="X33" i="13" s="1"/>
  <c r="Y33" i="13" s="1"/>
  <c r="P31" i="13"/>
  <c r="X31" i="13" s="1"/>
  <c r="Y31" i="13" s="1"/>
  <c r="P18" i="13"/>
  <c r="X18" i="13" s="1"/>
  <c r="Y18" i="13" s="1"/>
  <c r="P25" i="13"/>
  <c r="X25" i="13" s="1"/>
  <c r="Y25" i="13" s="1"/>
  <c r="P27" i="13"/>
  <c r="X27" i="13" s="1"/>
  <c r="Y27" i="13" s="1"/>
  <c r="P24" i="13"/>
  <c r="X24" i="13" s="1"/>
  <c r="Y24" i="13" s="1"/>
  <c r="P32" i="13"/>
  <c r="X32" i="13" s="1"/>
  <c r="Y32" i="13" s="1"/>
  <c r="P21" i="13"/>
  <c r="X21" i="13" s="1"/>
  <c r="Y21" i="13" s="1"/>
  <c r="P23" i="13"/>
  <c r="X23" i="13" s="1"/>
  <c r="Y23" i="13" s="1"/>
  <c r="D37" i="14"/>
  <c r="H30" i="14"/>
  <c r="F38" i="14"/>
  <c r="F37" i="14"/>
  <c r="F39" i="14"/>
  <c r="I30" i="14"/>
  <c r="G37" i="14"/>
  <c r="I37" i="14"/>
  <c r="H37" i="14"/>
  <c r="E37" i="14"/>
  <c r="D49" i="14"/>
  <c r="D44" i="14"/>
  <c r="N49" i="14"/>
  <c r="P15" i="13" l="1"/>
  <c r="Y44" i="13"/>
  <c r="Q14" i="13"/>
  <c r="Q13" i="13" s="1"/>
  <c r="X49" i="13"/>
  <c r="G44" i="14"/>
  <c r="Q17" i="13"/>
  <c r="X16" i="13"/>
  <c r="H48" i="14"/>
  <c r="K44" i="14"/>
  <c r="I46" i="14"/>
  <c r="M48" i="14"/>
  <c r="M39" i="14"/>
  <c r="X15" i="13" l="1"/>
  <c r="Y16" i="13"/>
  <c r="Y15" i="13" s="1"/>
  <c r="F44" i="14"/>
  <c r="Y49" i="13"/>
  <c r="E44" i="14"/>
  <c r="I47" i="14"/>
  <c r="L44" i="14"/>
  <c r="I44" i="14"/>
  <c r="N39" i="14"/>
  <c r="O49" i="14"/>
  <c r="P49" i="14" s="1"/>
  <c r="O39" i="14"/>
  <c r="O48" i="14"/>
  <c r="N44" i="14"/>
  <c r="N48" i="14"/>
  <c r="M44" i="14"/>
  <c r="J44" i="14"/>
  <c r="O44" i="14"/>
  <c r="X52" i="13" l="1"/>
  <c r="P48" i="14"/>
  <c r="P39" i="14"/>
  <c r="M20" i="14"/>
  <c r="K20" i="14"/>
  <c r="K17" i="14"/>
  <c r="L31" i="14"/>
  <c r="L29" i="14"/>
  <c r="M35" i="14"/>
  <c r="M33" i="14"/>
  <c r="M31" i="14"/>
  <c r="M28" i="14"/>
  <c r="H44" i="14"/>
  <c r="P44" i="14" s="1"/>
  <c r="L47" i="14"/>
  <c r="L35" i="14"/>
  <c r="L26" i="14"/>
  <c r="L34" i="14"/>
  <c r="L25" i="14"/>
  <c r="L21" i="14"/>
  <c r="J37" i="14"/>
  <c r="E19" i="14"/>
  <c r="Y52" i="13" l="1"/>
  <c r="Y43" i="13" s="1"/>
  <c r="X43" i="13"/>
  <c r="J47" i="14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Q37" i="13"/>
  <c r="L20" i="14"/>
  <c r="M45" i="14"/>
  <c r="N43" i="14"/>
  <c r="O26" i="14"/>
  <c r="K28" i="14"/>
  <c r="M26" i="14"/>
  <c r="K29" i="14"/>
  <c r="I36" i="14"/>
  <c r="J38" i="14"/>
  <c r="P38" i="14" s="1"/>
  <c r="Q38" i="13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5" i="14"/>
  <c r="I43" i="14"/>
  <c r="E18" i="14" l="1"/>
  <c r="P37" i="14"/>
  <c r="E17" i="14"/>
  <c r="F36" i="14"/>
  <c r="P36" i="14" s="1"/>
  <c r="H46" i="14"/>
  <c r="Q36" i="13"/>
  <c r="P47" i="14"/>
  <c r="I42" i="14"/>
  <c r="E16" i="13" l="1"/>
  <c r="E15" i="13" s="1"/>
  <c r="G30" i="14"/>
  <c r="G46" i="14"/>
  <c r="Q11" i="13"/>
  <c r="F16" i="13"/>
  <c r="F15" i="13" s="1"/>
  <c r="G16" i="13"/>
  <c r="G15" i="13" s="1"/>
  <c r="H16" i="13"/>
  <c r="H15" i="13" s="1"/>
  <c r="I16" i="13"/>
  <c r="I15" i="13" s="1"/>
  <c r="Q16" i="13" l="1"/>
  <c r="E31" i="14"/>
  <c r="H33" i="14"/>
  <c r="I20" i="14"/>
  <c r="I25" i="14"/>
  <c r="J31" i="14"/>
  <c r="G34" i="14"/>
  <c r="G26" i="14"/>
  <c r="G22" i="14"/>
  <c r="J34" i="14"/>
  <c r="J26" i="14"/>
  <c r="J18" i="14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Q25" i="13"/>
  <c r="D24" i="14"/>
  <c r="Q24" i="13"/>
  <c r="J43" i="14"/>
  <c r="F17" i="14"/>
  <c r="D23" i="14"/>
  <c r="Q23" i="13"/>
  <c r="D31" i="14"/>
  <c r="Q31" i="13"/>
  <c r="D22" i="14"/>
  <c r="Q22" i="13"/>
  <c r="D30" i="14"/>
  <c r="Q30" i="13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Q33" i="13"/>
  <c r="D42" i="14"/>
  <c r="H34" i="14"/>
  <c r="E21" i="14"/>
  <c r="F20" i="14"/>
  <c r="E23" i="14"/>
  <c r="E20" i="14"/>
  <c r="H22" i="14"/>
  <c r="H28" i="14"/>
  <c r="J35" i="14"/>
  <c r="E26" i="14"/>
  <c r="D17" i="14"/>
  <c r="D32" i="14"/>
  <c r="Q32" i="13"/>
  <c r="Q21" i="13"/>
  <c r="D21" i="14"/>
  <c r="Q29" i="13"/>
  <c r="D29" i="14"/>
  <c r="Q20" i="13"/>
  <c r="D20" i="14"/>
  <c r="Q28" i="13"/>
  <c r="D28" i="14"/>
  <c r="D43" i="14"/>
  <c r="Q19" i="13"/>
  <c r="D19" i="14"/>
  <c r="P19" i="14" s="1"/>
  <c r="Q27" i="13"/>
  <c r="D27" i="14"/>
  <c r="Q35" i="13"/>
  <c r="D35" i="14"/>
  <c r="D18" i="14"/>
  <c r="Q18" i="13"/>
  <c r="D26" i="14"/>
  <c r="Q26" i="13"/>
  <c r="D34" i="14"/>
  <c r="Q34" i="13"/>
  <c r="D45" i="14"/>
  <c r="P45" i="14" s="1"/>
  <c r="F21" i="14"/>
  <c r="I33" i="14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D16" i="14"/>
  <c r="D41" i="14"/>
  <c r="P18" i="14" l="1"/>
  <c r="Q15" i="13"/>
  <c r="P42" i="14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I15" i="14"/>
  <c r="N15" i="14"/>
  <c r="H40" i="14"/>
  <c r="H15" i="14"/>
  <c r="O15" i="14"/>
  <c r="O40" i="14"/>
  <c r="N40" i="14"/>
  <c r="L40" i="14"/>
  <c r="M15" i="14"/>
  <c r="M40" i="14"/>
  <c r="L15" i="14"/>
  <c r="K40" i="14"/>
  <c r="K15" i="14"/>
  <c r="J15" i="14"/>
  <c r="J40" i="14"/>
  <c r="G40" i="14"/>
  <c r="G15" i="14"/>
  <c r="F15" i="14"/>
  <c r="E15" i="14"/>
  <c r="D40" i="14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Q44" i="13" l="1"/>
  <c r="Q43" i="13" s="1"/>
  <c r="D12" i="13" l="1"/>
  <c r="E12" i="13"/>
  <c r="F12" i="13"/>
  <c r="G12" i="13"/>
  <c r="H12" i="13"/>
  <c r="I12" i="13"/>
  <c r="J12" i="13"/>
  <c r="K12" i="13"/>
  <c r="L12" i="13"/>
  <c r="M12" i="13"/>
  <c r="N12" i="13"/>
  <c r="O12" i="13"/>
  <c r="S12" i="13" l="1"/>
  <c r="S11" i="13" s="1"/>
  <c r="D11" i="13"/>
  <c r="D53" i="13" s="1"/>
  <c r="O11" i="13"/>
  <c r="O53" i="13" s="1"/>
  <c r="N11" i="13"/>
  <c r="N53" i="13" s="1"/>
  <c r="M11" i="13"/>
  <c r="M53" i="13" s="1"/>
  <c r="L11" i="13"/>
  <c r="L53" i="13" s="1"/>
  <c r="J11" i="13" l="1"/>
  <c r="J53" i="13" s="1"/>
  <c r="I11" i="13"/>
  <c r="I53" i="13" s="1"/>
  <c r="H11" i="13"/>
  <c r="H53" i="13" s="1"/>
  <c r="K11" i="13" l="1"/>
  <c r="K53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G11" i="13" l="1"/>
  <c r="G53" i="13" s="1"/>
  <c r="F11" i="13"/>
  <c r="F53" i="13" s="1"/>
  <c r="E11" i="13" l="1"/>
  <c r="E53" i="13" s="1"/>
  <c r="F11" i="14"/>
  <c r="F50" i="14" s="1"/>
  <c r="G11" i="14" l="1"/>
  <c r="G50" i="14" s="1"/>
  <c r="P41" i="14" l="1"/>
  <c r="P40" i="14" l="1"/>
  <c r="Q53" i="13" l="1"/>
  <c r="P16" i="14"/>
  <c r="P15" i="14" s="1"/>
  <c r="P11" i="13" l="1"/>
  <c r="P53" i="13" s="1"/>
  <c r="P12" i="14"/>
  <c r="P11" i="14" s="1"/>
  <c r="P50" i="14" s="1"/>
  <c r="S14" i="13" l="1"/>
  <c r="X14" i="13" s="1"/>
  <c r="W14" i="13"/>
  <c r="W13" i="13" s="1"/>
  <c r="W53" i="13" s="1"/>
  <c r="V14" i="13"/>
  <c r="V13" i="13" s="1"/>
  <c r="V53" i="13" s="1"/>
  <c r="X13" i="13" l="1"/>
  <c r="X53" i="13" s="1"/>
  <c r="Y14" i="13"/>
  <c r="Y13" i="13" s="1"/>
  <c r="Y53" i="13" s="1"/>
  <c r="S13" i="13"/>
  <c r="S53" i="13" s="1"/>
  <c r="J59" i="12" l="1"/>
  <c r="K49" i="12"/>
  <c r="V49" i="12" l="1"/>
  <c r="Y49" i="12" s="1"/>
  <c r="Z49" i="12" s="1"/>
  <c r="T49" i="12" s="1"/>
</calcChain>
</file>

<file path=xl/sharedStrings.xml><?xml version="1.0" encoding="utf-8"?>
<sst xmlns="http://schemas.openxmlformats.org/spreadsheetml/2006/main" count="1847" uniqueCount="159">
  <si>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</si>
  <si>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</si>
  <si>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</si>
  <si>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</si>
  <si>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</si>
  <si>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</si>
  <si>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</si>
  <si>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</si>
  <si>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</si>
  <si>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</si>
  <si>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</si>
  <si>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</si>
  <si>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</si>
  <si>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</si>
  <si>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</si>
  <si>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</si>
  <si>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</si>
  <si>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</si>
  <si>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</si>
  <si>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</si>
  <si>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</si>
  <si>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</si>
  <si>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</si>
  <si>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</si>
  <si>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</si>
  <si>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</si>
  <si>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</si>
  <si>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</si>
  <si>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</si>
  <si>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</si>
  <si>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</si>
  <si>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</si>
  <si>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</si>
  <si>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</si>
  <si>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</si>
  <si>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</si>
  <si>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</si>
  <si>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</si>
  <si>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</si>
  <si>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</si>
  <si>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</si>
  <si>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</si>
  <si>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</si>
  <si>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</si>
  <si>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</si>
  <si>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</si>
  <si>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</si>
  <si>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</si>
  <si>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</si>
  <si>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</si>
  <si>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</si>
  <si>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</si>
  <si>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</si>
  <si>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</si>
  <si>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</si>
  <si>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</si>
  <si>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</si>
  <si>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</si>
  <si>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</si>
  <si>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</si>
  <si>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</si>
  <si>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</si>
  <si>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</si>
  <si>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</si>
  <si>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</si>
  <si>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</si>
  <si>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</si>
  <si>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</si>
  <si>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</si>
  <si>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</si>
  <si>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</si>
  <si>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</si>
  <si>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</si>
  <si>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</si>
  <si>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</si>
  <si>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</si>
  <si>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</si>
  <si>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</si>
  <si>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</si>
  <si>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</si>
  <si>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</si>
  <si>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</si>
  <si>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</si>
  <si>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</si>
  <si>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</si>
  <si>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</si>
  <si>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</si>
  <si>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</si>
  <si>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</si>
  <si>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</si>
  <si>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</si>
  <si>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</si>
  <si>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</si>
  <si>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</si>
  <si>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</si>
  <si>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</si>
  <si>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</si>
  <si>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</si>
  <si>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</si>
  <si>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</si>
  <si>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</si>
  <si>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</si>
  <si>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</si>
  <si>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</si>
  <si>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</si>
  <si>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</si>
  <si>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</si>
  <si>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</si>
  <si>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17=4*1%</t>
  </si>
  <si>
    <t>Trương Quang Thanh</t>
  </si>
  <si>
    <t>TNCT</t>
  </si>
  <si>
    <t>KTT</t>
  </si>
  <si>
    <t>TPKD</t>
  </si>
  <si>
    <t>KTBT</t>
  </si>
  <si>
    <t>TNTT</t>
  </si>
  <si>
    <t>Thuế TNCN</t>
  </si>
  <si>
    <t>NPT</t>
  </si>
  <si>
    <t>Nguyễn Thị Thu Hồng</t>
  </si>
  <si>
    <t>Hoa hồng doanh thu</t>
  </si>
  <si>
    <t>Bùi Quốc Việt</t>
  </si>
  <si>
    <t>NVK</t>
  </si>
  <si>
    <t>Phạm Anh Vũ</t>
  </si>
  <si>
    <t>Nguyễn Thanh Hoàng</t>
  </si>
  <si>
    <t>CTV</t>
  </si>
  <si>
    <t>Thuế TNCN/tháng</t>
  </si>
  <si>
    <t>TNTT/tháng</t>
  </si>
  <si>
    <t>Năm 2023</t>
  </si>
  <si>
    <t>TỔNG LƯƠNG 2023</t>
  </si>
  <si>
    <t>Ngày  31 tháng  12 năm 2023</t>
  </si>
  <si>
    <t>TNTT/năm</t>
  </si>
  <si>
    <t>Thuế TNCN/năm</t>
  </si>
  <si>
    <t>Nguyễn Thiên Trang</t>
  </si>
  <si>
    <t>Nguyễn Thiên Thanh</t>
  </si>
  <si>
    <t>Nguyễn Duy Khánh</t>
  </si>
  <si>
    <t>Trịnh Quang Tiến</t>
  </si>
  <si>
    <t xml:space="preserve">Đặng Thị Xuyến </t>
  </si>
  <si>
    <t>.</t>
  </si>
  <si>
    <t>Tháng 01 năm 2024</t>
  </si>
  <si>
    <t>Ngày  31 tháng  01 năm 2024</t>
  </si>
  <si>
    <t>Phạm Văn Tình</t>
  </si>
  <si>
    <t>Tháng 02 năm 2024</t>
  </si>
  <si>
    <t>Ngày  29 tháng  02 năm 2024</t>
  </si>
  <si>
    <t>Tháng 03 năm 2024</t>
  </si>
  <si>
    <t>Ngày  31 tháng  03 năm 2024</t>
  </si>
  <si>
    <t>Tháng 04 năm 2024</t>
  </si>
  <si>
    <t>Ngày  30 tháng  04 năm 2024</t>
  </si>
  <si>
    <t>Đỗ Minh Quang</t>
  </si>
  <si>
    <t>Nguyễn Minh Sơn</t>
  </si>
  <si>
    <t>Phan Trọng Cường</t>
  </si>
  <si>
    <t>Huỳnh Thanh Phong</t>
  </si>
  <si>
    <t>Tháng 05 năm 2024</t>
  </si>
  <si>
    <t>Tháng 06 năm 2024</t>
  </si>
  <si>
    <t>CT</t>
  </si>
  <si>
    <t>Trần Bảo Trâm</t>
  </si>
  <si>
    <t>Nguyễn Hữu Chánh</t>
  </si>
  <si>
    <t>Tài xế</t>
  </si>
  <si>
    <t>Tháng 08 năm 2024</t>
  </si>
  <si>
    <t>Bùi Văn Vũ</t>
  </si>
  <si>
    <t>Tháng 11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</si>
</sst>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vertical="center"/>
    </xf>
    <xf numFmtId="164" fontId="16" fillId="0" borderId="2" xfId="1" applyNumberFormat="1" applyFont="1" applyFill="1" applyBorder="1" applyAlignment="1">
      <alignment horizontal="center" vertical="center" wrapText="1"/>
    </xf>
    <xf numFmtId="164" fontId="16" fillId="0" borderId="2" xfId="3" applyNumberFormat="1" applyFont="1" applyFill="1" applyBorder="1" applyAlignment="1">
      <alignment vertical="center" wrapText="1"/>
    </xf>
    <xf numFmtId="164" fontId="16" fillId="0" borderId="2" xfId="1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horizontal="left" vertical="center" wrapText="1"/>
    </xf>
    <xf numFmtId="165" fontId="16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vertical="center" wrapText="1"/>
    </xf>
    <xf numFmtId="164" fontId="18" fillId="0" borderId="2" xfId="0" applyNumberFormat="1" applyFont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vertical="center" wrapText="1"/>
    </xf>
    <xf numFmtId="164" fontId="13" fillId="0" borderId="2" xfId="3" applyNumberFormat="1" applyFont="1" applyFill="1" applyBorder="1" applyAlignment="1">
      <alignment vertical="center" wrapText="1"/>
    </xf>
    <xf numFmtId="164" fontId="11" fillId="0" borderId="2" xfId="2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avascript:submitform('8460891335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ySplit="10" topLeftCell="A32" activePane="bottomLeft" state="frozen"/>
      <selection pane="bottomLef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10.42578125" style="13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3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3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23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23"/>
      <c r="N4" s="23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137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>SUM(T14:T14)</f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SUM(D18:D41)</f>
        <v>139994000</v>
      </c>
      <c r="E17" s="51">
        <f t="shared" si="3"/>
        <v>598</v>
      </c>
      <c r="F17" s="51">
        <f t="shared" si="3"/>
        <v>136206800</v>
      </c>
      <c r="G17" s="51">
        <f t="shared" si="3"/>
        <v>23787200</v>
      </c>
      <c r="H17" s="51">
        <f t="shared" si="3"/>
        <v>99096400</v>
      </c>
      <c r="I17" s="51">
        <f t="shared" si="3"/>
        <v>16790000</v>
      </c>
      <c r="J17" s="51">
        <f t="shared" si="3"/>
        <v>125222318.39300001</v>
      </c>
      <c r="K17" s="51">
        <f>SUM(K18:K41)</f>
        <v>401102718.39300001</v>
      </c>
      <c r="L17" s="51">
        <f t="shared" si="3"/>
        <v>11199520</v>
      </c>
      <c r="M17" s="51">
        <f t="shared" si="3"/>
        <v>2099910</v>
      </c>
      <c r="N17" s="51">
        <f t="shared" si="3"/>
        <v>1399940</v>
      </c>
      <c r="O17" s="51">
        <f t="shared" si="3"/>
        <v>14699370</v>
      </c>
      <c r="P17" s="51">
        <f t="shared" si="3"/>
        <v>24498950</v>
      </c>
      <c r="Q17" s="51">
        <f t="shared" si="3"/>
        <v>4199820</v>
      </c>
      <c r="R17" s="51">
        <f t="shared" si="3"/>
        <v>1399940</v>
      </c>
      <c r="S17" s="51">
        <f t="shared" si="3"/>
        <v>30098710</v>
      </c>
      <c r="T17" s="51">
        <f>SUM(T18:T41)</f>
        <v>382444599.39300001</v>
      </c>
      <c r="U17" s="51">
        <f t="shared" si="3"/>
        <v>0</v>
      </c>
      <c r="V17" s="51">
        <f t="shared" si="3"/>
        <v>384312718.39300001</v>
      </c>
      <c r="W17" s="51">
        <f t="shared" si="3"/>
        <v>253000000</v>
      </c>
      <c r="X17" s="51">
        <f t="shared" si="3"/>
        <v>101200000</v>
      </c>
      <c r="Y17" s="51">
        <f t="shared" si="3"/>
        <v>58402055.828000002</v>
      </c>
      <c r="Z17" s="51">
        <f t="shared" si="3"/>
        <v>3958749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7448524.1950000003</v>
      </c>
      <c r="K18" s="36">
        <f>F18+G18+H18+I18+J18</f>
        <v>18161324.195</v>
      </c>
      <c r="L18" s="37">
        <f t="shared" ref="L18:L37" si="4">D18*8%</f>
        <v>501600</v>
      </c>
      <c r="M18" s="38">
        <f t="shared" ref="M18:M37" si="5">D18*1.5%</f>
        <v>94050</v>
      </c>
      <c r="N18" s="39">
        <f t="shared" ref="N18:N37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37" si="8">P18+Q18+R18</f>
        <v>1348050</v>
      </c>
      <c r="T18" s="41">
        <f>K18-O18-Z18</f>
        <v>17175677.195</v>
      </c>
      <c r="U18" s="42"/>
      <c r="V18" s="68">
        <f>K18-I18</f>
        <v>17431324.195</v>
      </c>
      <c r="W18" s="69">
        <v>11000000</v>
      </c>
      <c r="X18" s="69"/>
      <c r="Y18" s="69">
        <f>MAX(V18-O18-W18-X18,0)</f>
        <v>5772974.1950000003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327297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37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6384449.3100000005</v>
      </c>
      <c r="K19" s="36">
        <f t="shared" ref="K19:K41" si="10">F19+G19+H19+I19+J19</f>
        <v>16571649.310000001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37" si="12">D19*3%</f>
        <v>172332</v>
      </c>
      <c r="R19" s="38">
        <f t="shared" ref="R19:R37" si="13">D19*1%</f>
        <v>57444</v>
      </c>
      <c r="S19" s="40">
        <f t="shared" si="8"/>
        <v>1235046</v>
      </c>
      <c r="T19" s="41">
        <f t="shared" ref="T19:T41" si="14">K19-O19-Z19</f>
        <v>15968487.310000001</v>
      </c>
      <c r="U19" s="42"/>
      <c r="V19" s="68">
        <f t="shared" si="1"/>
        <v>15841649.310000001</v>
      </c>
      <c r="W19" s="69">
        <v>11000000</v>
      </c>
      <c r="X19" s="69">
        <f>4400000</f>
        <v>4400000</v>
      </c>
      <c r="Y19" s="69">
        <f t="shared" ref="Y19:Y52" si="15">MAX(V19-O19-W19-X19,0)</f>
        <v>0</v>
      </c>
      <c r="Z19" s="69">
        <f t="shared" ref="Z19:Z52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6384449.3100000005</v>
      </c>
      <c r="K20" s="36">
        <f t="shared" si="10"/>
        <v>16571649.310000001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15968487.310000001</v>
      </c>
      <c r="U20" s="42"/>
      <c r="V20" s="68">
        <f t="shared" si="1"/>
        <v>15841649.310000001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7785757.0650000004</v>
      </c>
      <c r="K21" s="36">
        <f t="shared" si="10"/>
        <v>18498557.065000001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17840207.065000001</v>
      </c>
      <c r="U21" s="42"/>
      <c r="V21" s="68">
        <f t="shared" si="1"/>
        <v>17768557.065000001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4256299.54</v>
      </c>
      <c r="K22" s="36">
        <f t="shared" si="10"/>
        <v>15815299.539999999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15211969.539999999</v>
      </c>
      <c r="U22" s="42"/>
      <c r="V22" s="68">
        <f t="shared" si="1"/>
        <v>15085299.539999999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4256299.54</v>
      </c>
      <c r="K23" s="36">
        <f t="shared" si="10"/>
        <v>15815299.539999999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15037871.539999999</v>
      </c>
      <c r="U23" s="42"/>
      <c r="V23" s="68">
        <f t="shared" si="1"/>
        <v>15085299.539999999</v>
      </c>
      <c r="W23" s="69">
        <v>11000000</v>
      </c>
      <c r="X23" s="69"/>
      <c r="Y23" s="69">
        <f t="shared" si="15"/>
        <v>3481969.5399999991</v>
      </c>
      <c r="Z23" s="69">
        <f t="shared" si="16"/>
        <v>174098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4256299.54</v>
      </c>
      <c r="K24" s="36">
        <f t="shared" si="10"/>
        <v>15815299.539999999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15037871.539999999</v>
      </c>
      <c r="U24" s="42"/>
      <c r="V24" s="68">
        <f t="shared" si="1"/>
        <v>15085299.539999999</v>
      </c>
      <c r="W24" s="69">
        <v>11000000</v>
      </c>
      <c r="X24" s="69"/>
      <c r="Y24" s="69">
        <f t="shared" si="15"/>
        <v>3481969.5399999991</v>
      </c>
      <c r="Z24" s="69">
        <f t="shared" si="16"/>
        <v>174098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6384449.3100000005</v>
      </c>
      <c r="K25" s="36">
        <f t="shared" si="10"/>
        <v>17103649.310000002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16444627.310000002</v>
      </c>
      <c r="U25" s="42"/>
      <c r="V25" s="68">
        <f t="shared" si="1"/>
        <v>16373649.310000002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4671454.2390000001</v>
      </c>
      <c r="K26" s="36">
        <f t="shared" si="10"/>
        <v>16230454.239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15432268.239</v>
      </c>
      <c r="U26" s="42"/>
      <c r="V26" s="68">
        <f t="shared" si="1"/>
        <v>15500454.239</v>
      </c>
      <c r="W26" s="69">
        <v>11000000</v>
      </c>
      <c r="X26" s="69"/>
      <c r="Y26" s="69">
        <f t="shared" si="15"/>
        <v>3897124.2390000001</v>
      </c>
      <c r="Z26" s="69">
        <f t="shared" si="16"/>
        <v>194856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4256299.54</v>
      </c>
      <c r="K27" s="36">
        <f t="shared" si="10"/>
        <v>15815299.539999999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15037871.539999999</v>
      </c>
      <c r="U27" s="42"/>
      <c r="V27" s="68">
        <f t="shared" si="1"/>
        <v>15085299.539999999</v>
      </c>
      <c r="W27" s="69">
        <v>11000000</v>
      </c>
      <c r="X27" s="69"/>
      <c r="Y27" s="69">
        <f t="shared" si="15"/>
        <v>3481969.5399999991</v>
      </c>
      <c r="Z27" s="69">
        <f t="shared" si="16"/>
        <v>174098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4671454.2390000001</v>
      </c>
      <c r="K28" s="36">
        <f t="shared" si="10"/>
        <v>16230454.239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15627124.239</v>
      </c>
      <c r="U28" s="42"/>
      <c r="V28" s="68">
        <f t="shared" si="1"/>
        <v>15500454.239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7785757.0650000004</v>
      </c>
      <c r="K29" s="36">
        <f t="shared" si="10"/>
        <v>18504957.065000001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17845935.065000001</v>
      </c>
      <c r="U29" s="42"/>
      <c r="V29" s="68">
        <f t="shared" si="1"/>
        <v>17774957.065000001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7785757.0650000004</v>
      </c>
      <c r="K30" s="36">
        <f t="shared" si="10"/>
        <v>18504957.065000001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17760138.065000001</v>
      </c>
      <c r="U30" s="42"/>
      <c r="V30" s="68">
        <f t="shared" si="1"/>
        <v>17774957.065000001</v>
      </c>
      <c r="W30" s="69">
        <v>11000000</v>
      </c>
      <c r="X30" s="69">
        <f>4400000</f>
        <v>4400000</v>
      </c>
      <c r="Y30" s="69">
        <f t="shared" si="15"/>
        <v>1715935.0650000013</v>
      </c>
      <c r="Z30" s="69">
        <f t="shared" si="16"/>
        <v>85797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4671454.2390000001</v>
      </c>
      <c r="K31" s="36">
        <f t="shared" si="10"/>
        <v>16230454.239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15627124.239</v>
      </c>
      <c r="U31" s="42"/>
      <c r="V31" s="68">
        <f t="shared" si="1"/>
        <v>15500454.239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4671454.2390000001</v>
      </c>
      <c r="K32" s="36">
        <f t="shared" si="10"/>
        <v>16230454.239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15627124.239</v>
      </c>
      <c r="U32" s="42"/>
      <c r="V32" s="68">
        <f t="shared" si="1"/>
        <v>15500454.239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4256299.54</v>
      </c>
      <c r="K33" s="36">
        <f t="shared" si="10"/>
        <v>15815299.539999999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15037871.539999999</v>
      </c>
      <c r="U33" s="42"/>
      <c r="V33" s="68">
        <f t="shared" si="1"/>
        <v>15085299.539999999</v>
      </c>
      <c r="W33" s="69">
        <v>11000000</v>
      </c>
      <c r="X33" s="69"/>
      <c r="Y33" s="69">
        <f t="shared" si="15"/>
        <v>3481969.5399999991</v>
      </c>
      <c r="Z33" s="69">
        <f t="shared" si="16"/>
        <v>174098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9342908.4780000001</v>
      </c>
      <c r="K34" s="36">
        <f t="shared" si="10"/>
        <v>21853508.478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21020312.478</v>
      </c>
      <c r="U34" s="42"/>
      <c r="V34" s="68">
        <f t="shared" si="1"/>
        <v>21123508.478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4256299.54</v>
      </c>
      <c r="K35" s="36">
        <f t="shared" si="10"/>
        <v>15287499.539999999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14452431.539999999</v>
      </c>
      <c r="U35" s="42"/>
      <c r="V35" s="68">
        <f t="shared" si="1"/>
        <v>14557499.539999999</v>
      </c>
      <c r="W35" s="69">
        <v>11000000</v>
      </c>
      <c r="X35" s="69"/>
      <c r="Y35" s="69">
        <f t="shared" si="15"/>
        <v>2865717.5399999991</v>
      </c>
      <c r="Z35" s="69">
        <f t="shared" si="16"/>
        <v>143286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6384449.3100000005</v>
      </c>
      <c r="K36" s="36">
        <f t="shared" si="10"/>
        <v>17415649.310000002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16694174.310000002</v>
      </c>
      <c r="U36" s="42"/>
      <c r="V36" s="68">
        <f t="shared" si="1"/>
        <v>16685649.310000002</v>
      </c>
      <c r="W36" s="69">
        <v>11000000</v>
      </c>
      <c r="X36" s="69">
        <f>4400000</f>
        <v>4400000</v>
      </c>
      <c r="Y36" s="69">
        <f t="shared" si="15"/>
        <v>593867.31000000238</v>
      </c>
      <c r="Z36" s="69">
        <f t="shared" si="16"/>
        <v>29693</v>
      </c>
    </row>
    <row r="37" spans="1:26" s="53" customFormat="1" ht="21.75" customHeight="1" x14ac:dyDescent="0.25">
      <c r="A37" s="29">
        <v>22</v>
      </c>
      <c r="B37" s="30" t="s">
        <v>119</v>
      </c>
      <c r="C37" s="31" t="s">
        <v>120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2128149.77</v>
      </c>
      <c r="K37" s="36">
        <f t="shared" si="10"/>
        <v>11825549.77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4"/>
        <v>11259893.77</v>
      </c>
      <c r="U37" s="42"/>
      <c r="V37" s="68">
        <f t="shared" si="1"/>
        <v>11095549.77</v>
      </c>
      <c r="W37" s="69">
        <v>11000000</v>
      </c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23</v>
      </c>
      <c r="B38" s="30" t="s">
        <v>131</v>
      </c>
      <c r="C38" s="31" t="s">
        <v>29</v>
      </c>
      <c r="D38" s="32">
        <f t="shared" ref="D38:D40" si="17">F38+G38</f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4256299.54</v>
      </c>
      <c r="K38" s="36">
        <f t="shared" si="10"/>
        <v>15287499.539999999</v>
      </c>
      <c r="L38" s="37">
        <f t="shared" ref="L38:L40" si="18">D38*8%</f>
        <v>527072</v>
      </c>
      <c r="M38" s="38">
        <f t="shared" ref="M38:M40" si="19">D38*1.5%</f>
        <v>98826</v>
      </c>
      <c r="N38" s="39">
        <f t="shared" ref="N38:N40" si="20">D38*1%</f>
        <v>65884</v>
      </c>
      <c r="O38" s="40">
        <f>L38+M38+N38</f>
        <v>691782</v>
      </c>
      <c r="P38" s="38">
        <f>D38*17.5%</f>
        <v>1152970</v>
      </c>
      <c r="Q38" s="38">
        <f t="shared" ref="Q38:Q40" si="21">D38*3%</f>
        <v>197652</v>
      </c>
      <c r="R38" s="38">
        <f t="shared" ref="R38:R40" si="22">D38*1%</f>
        <v>65884</v>
      </c>
      <c r="S38" s="40">
        <f t="shared" ref="S38:S40" si="23">P38+Q38+R38</f>
        <v>1416506</v>
      </c>
      <c r="T38" s="41">
        <f t="shared" si="14"/>
        <v>14452431.539999999</v>
      </c>
      <c r="U38" s="42"/>
      <c r="V38" s="68">
        <f t="shared" si="1"/>
        <v>14557499.539999999</v>
      </c>
      <c r="W38" s="69">
        <v>11000000</v>
      </c>
      <c r="X38" s="69"/>
      <c r="Y38" s="69">
        <f t="shared" si="15"/>
        <v>2865717.5399999991</v>
      </c>
      <c r="Z38" s="69">
        <f t="shared" si="16"/>
        <v>143286</v>
      </c>
    </row>
    <row r="39" spans="1:26" s="53" customFormat="1" ht="21.75" customHeight="1" x14ac:dyDescent="0.25">
      <c r="A39" s="29">
        <v>24</v>
      </c>
      <c r="B39" s="30" t="s">
        <v>132</v>
      </c>
      <c r="C39" s="31" t="s">
        <v>29</v>
      </c>
      <c r="D39" s="32">
        <f t="shared" si="17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4256299.54</v>
      </c>
      <c r="K39" s="36">
        <f t="shared" si="10"/>
        <v>15287499.539999999</v>
      </c>
      <c r="L39" s="37">
        <f t="shared" si="18"/>
        <v>527072</v>
      </c>
      <c r="M39" s="38">
        <f t="shared" si="19"/>
        <v>98826</v>
      </c>
      <c r="N39" s="39">
        <f t="shared" si="20"/>
        <v>65884</v>
      </c>
      <c r="O39" s="40">
        <f>L39+M39+N39</f>
        <v>691782</v>
      </c>
      <c r="P39" s="38">
        <f>D39*17.5%</f>
        <v>1152970</v>
      </c>
      <c r="Q39" s="38">
        <f t="shared" si="21"/>
        <v>197652</v>
      </c>
      <c r="R39" s="38">
        <f t="shared" si="22"/>
        <v>65884</v>
      </c>
      <c r="S39" s="40">
        <f t="shared" si="23"/>
        <v>1416506</v>
      </c>
      <c r="T39" s="41">
        <f t="shared" si="14"/>
        <v>14452431.539999999</v>
      </c>
      <c r="U39" s="42"/>
      <c r="V39" s="68">
        <f t="shared" si="1"/>
        <v>14557499.539999999</v>
      </c>
      <c r="W39" s="69">
        <v>11000000</v>
      </c>
      <c r="X39" s="69"/>
      <c r="Y39" s="69">
        <f t="shared" si="15"/>
        <v>2865717.5399999991</v>
      </c>
      <c r="Z39" s="69">
        <f t="shared" si="16"/>
        <v>143286</v>
      </c>
    </row>
    <row r="40" spans="1:26" s="53" customFormat="1" ht="21.75" customHeight="1" x14ac:dyDescent="0.25">
      <c r="A40" s="62">
        <v>25</v>
      </c>
      <c r="B40" s="30" t="s">
        <v>133</v>
      </c>
      <c r="C40" s="31" t="s">
        <v>30</v>
      </c>
      <c r="D40" s="32">
        <f t="shared" si="17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4671454.2390000001</v>
      </c>
      <c r="K40" s="36">
        <f>F40+G40+H40+I40+J40</f>
        <v>16230454.239</v>
      </c>
      <c r="L40" s="37">
        <f t="shared" si="18"/>
        <v>459680</v>
      </c>
      <c r="M40" s="38">
        <f t="shared" si="19"/>
        <v>86190</v>
      </c>
      <c r="N40" s="39">
        <f t="shared" si="20"/>
        <v>57460</v>
      </c>
      <c r="O40" s="40">
        <f t="shared" ref="O40" si="24">L40+M40+N40</f>
        <v>603330</v>
      </c>
      <c r="P40" s="38">
        <f t="shared" ref="P40" si="25">D40*17.5%</f>
        <v>1005549.9999999999</v>
      </c>
      <c r="Q40" s="38">
        <f t="shared" si="21"/>
        <v>172380</v>
      </c>
      <c r="R40" s="38">
        <f t="shared" si="22"/>
        <v>57460</v>
      </c>
      <c r="S40" s="40">
        <f t="shared" si="23"/>
        <v>1235390</v>
      </c>
      <c r="T40" s="41">
        <f t="shared" si="14"/>
        <v>15432268.239</v>
      </c>
      <c r="U40" s="42"/>
      <c r="V40" s="68">
        <f t="shared" si="1"/>
        <v>15500454.239</v>
      </c>
      <c r="W40" s="69">
        <v>11000000</v>
      </c>
      <c r="X40" s="69"/>
      <c r="Y40" s="69">
        <f t="shared" si="15"/>
        <v>3897124.2390000001</v>
      </c>
      <c r="Z40" s="69">
        <f t="shared" si="16"/>
        <v>194856</v>
      </c>
    </row>
    <row r="41" spans="1:26" s="53" customFormat="1" ht="21.75" customHeight="1" x14ac:dyDescent="0.25">
      <c r="A41" s="29">
        <v>26</v>
      </c>
      <c r="B41" s="30" t="s">
        <v>134</v>
      </c>
      <c r="C41" s="31" t="s">
        <v>123</v>
      </c>
      <c r="D41" s="32"/>
      <c r="E41" s="33"/>
      <c r="F41" s="34">
        <v>20000000</v>
      </c>
      <c r="G41" s="34"/>
      <c r="H41" s="35"/>
      <c r="I41" s="35"/>
      <c r="J41" s="35"/>
      <c r="K41" s="36">
        <f t="shared" si="10"/>
        <v>20000000</v>
      </c>
      <c r="L41" s="37"/>
      <c r="M41" s="38"/>
      <c r="N41" s="39"/>
      <c r="O41" s="40"/>
      <c r="P41" s="38"/>
      <c r="Q41" s="38"/>
      <c r="R41" s="38"/>
      <c r="S41" s="40"/>
      <c r="T41" s="41">
        <f t="shared" si="14"/>
        <v>18000000</v>
      </c>
      <c r="U41" s="42"/>
      <c r="V41" s="68">
        <f t="shared" si="1"/>
        <v>20000000</v>
      </c>
      <c r="W41" s="69"/>
      <c r="X41" s="69"/>
      <c r="Y41" s="69">
        <f t="shared" si="15"/>
        <v>20000000</v>
      </c>
      <c r="Z41" s="69">
        <f>Y41*0.1</f>
        <v>2000000</v>
      </c>
    </row>
    <row r="42" spans="1:26" s="53" customFormat="1" ht="21.75" customHeight="1" x14ac:dyDescent="0.25">
      <c r="A42" s="62"/>
      <c r="B42" s="30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68"/>
      <c r="W42" s="69"/>
      <c r="X42" s="69"/>
      <c r="Y42" s="69"/>
      <c r="Z42" s="69"/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26">SUM(D49:D55)</f>
        <v>41012000</v>
      </c>
      <c r="E48" s="51">
        <f t="shared" si="26"/>
        <v>182</v>
      </c>
      <c r="F48" s="51">
        <f t="shared" si="26"/>
        <v>34111800</v>
      </c>
      <c r="G48" s="51">
        <f t="shared" si="26"/>
        <v>6900200</v>
      </c>
      <c r="H48" s="51">
        <f t="shared" si="26"/>
        <v>26431600</v>
      </c>
      <c r="I48" s="51">
        <f t="shared" si="26"/>
        <v>5110000</v>
      </c>
      <c r="J48" s="51">
        <f t="shared" si="26"/>
        <v>0</v>
      </c>
      <c r="K48" s="51">
        <f>SUM(K49:K55)</f>
        <v>72553600</v>
      </c>
      <c r="L48" s="51">
        <f t="shared" si="26"/>
        <v>3280960</v>
      </c>
      <c r="M48" s="51">
        <f t="shared" si="26"/>
        <v>615180</v>
      </c>
      <c r="N48" s="51">
        <f t="shared" si="26"/>
        <v>410120</v>
      </c>
      <c r="O48" s="51">
        <f t="shared" si="26"/>
        <v>4306260</v>
      </c>
      <c r="P48" s="51">
        <f t="shared" si="26"/>
        <v>7177100</v>
      </c>
      <c r="Q48" s="51">
        <f t="shared" si="26"/>
        <v>1230360</v>
      </c>
      <c r="R48" s="51">
        <f t="shared" si="26"/>
        <v>410120</v>
      </c>
      <c r="S48" s="51">
        <f t="shared" si="26"/>
        <v>8817580</v>
      </c>
      <c r="T48" s="51">
        <f>SUM(T49:T55)</f>
        <v>68247340</v>
      </c>
      <c r="U48" s="51">
        <f t="shared" si="26"/>
        <v>0</v>
      </c>
      <c r="V48" s="51">
        <f>SUM(V49:V55)</f>
        <v>67443600</v>
      </c>
      <c r="W48" s="51">
        <f t="shared" si="26"/>
        <v>77000000</v>
      </c>
      <c r="X48" s="51">
        <f t="shared" si="26"/>
        <v>4400000</v>
      </c>
      <c r="Y48" s="51">
        <f t="shared" si="26"/>
        <v>0</v>
      </c>
      <c r="Z48" s="51">
        <f t="shared" si="26"/>
        <v>0</v>
      </c>
    </row>
    <row r="49" spans="1:26" s="26" customFormat="1" ht="21.75" customHeight="1" x14ac:dyDescent="0.25">
      <c r="A49" s="29">
        <v>27</v>
      </c>
      <c r="B49" s="30" t="s">
        <v>42</v>
      </c>
      <c r="C49" s="31" t="s">
        <v>41</v>
      </c>
      <c r="D49" s="43">
        <f t="shared" ref="D49:D54" si="27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28">D49*8%</f>
        <v>443632</v>
      </c>
      <c r="M49" s="38">
        <f t="shared" ref="M49:M54" si="29">D49*1.5%</f>
        <v>83181</v>
      </c>
      <c r="N49" s="39">
        <f t="shared" ref="N49:N54" si="30">D49*1%</f>
        <v>55454</v>
      </c>
      <c r="O49" s="40">
        <f t="shared" ref="O49:O54" si="31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32">P49+Q49+R49</f>
        <v>1192261</v>
      </c>
      <c r="T49" s="41">
        <f>K49-O49-Z49</f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28</v>
      </c>
      <c r="B50" s="30" t="s">
        <v>79</v>
      </c>
      <c r="C50" s="31" t="s">
        <v>40</v>
      </c>
      <c r="D50" s="43">
        <f t="shared" si="27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33">F50+G50+H50+I50+J50</f>
        <v>10542400</v>
      </c>
      <c r="L50" s="37">
        <f t="shared" si="28"/>
        <v>484432</v>
      </c>
      <c r="M50" s="38">
        <f t="shared" si="29"/>
        <v>90831</v>
      </c>
      <c r="N50" s="39">
        <f t="shared" si="30"/>
        <v>60554</v>
      </c>
      <c r="O50" s="40">
        <f t="shared" si="31"/>
        <v>635817</v>
      </c>
      <c r="P50" s="38">
        <f t="shared" ref="P50:P52" si="34">D50*17.5%</f>
        <v>1059695</v>
      </c>
      <c r="Q50" s="38">
        <f t="shared" ref="Q50:Q54" si="35">D50*3%</f>
        <v>181662</v>
      </c>
      <c r="R50" s="38">
        <f t="shared" ref="R50:R54" si="36">D50*1%</f>
        <v>60554</v>
      </c>
      <c r="S50" s="40">
        <f t="shared" si="32"/>
        <v>1301911</v>
      </c>
      <c r="T50" s="41">
        <f t="shared" ref="T50:T55" si="37">K50-O50-Z50</f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>
        <v>29</v>
      </c>
      <c r="B51" s="30" t="s">
        <v>81</v>
      </c>
      <c r="C51" s="31" t="s">
        <v>41</v>
      </c>
      <c r="D51" s="43">
        <f t="shared" si="27"/>
        <v>5746000</v>
      </c>
      <c r="E51" s="33">
        <v>26</v>
      </c>
      <c r="F51" s="34">
        <v>4773600</v>
      </c>
      <c r="G51" s="34">
        <v>972400</v>
      </c>
      <c r="H51" s="35">
        <v>3757000</v>
      </c>
      <c r="I51" s="35">
        <v>730000</v>
      </c>
      <c r="J51" s="35"/>
      <c r="K51" s="36">
        <f t="shared" si="33"/>
        <v>10233000</v>
      </c>
      <c r="L51" s="37">
        <f t="shared" si="28"/>
        <v>459680</v>
      </c>
      <c r="M51" s="38">
        <f t="shared" si="29"/>
        <v>86190</v>
      </c>
      <c r="N51" s="39">
        <f t="shared" si="30"/>
        <v>57460</v>
      </c>
      <c r="O51" s="40">
        <f t="shared" si="31"/>
        <v>603330</v>
      </c>
      <c r="P51" s="38">
        <f t="shared" si="34"/>
        <v>1005549.9999999999</v>
      </c>
      <c r="Q51" s="38">
        <f t="shared" si="35"/>
        <v>172380</v>
      </c>
      <c r="R51" s="38">
        <f t="shared" si="36"/>
        <v>57460</v>
      </c>
      <c r="S51" s="40">
        <f t="shared" si="32"/>
        <v>1235390</v>
      </c>
      <c r="T51" s="41">
        <f t="shared" si="37"/>
        <v>9629670</v>
      </c>
      <c r="U51" s="42"/>
      <c r="V51" s="68">
        <f t="shared" si="1"/>
        <v>9503000</v>
      </c>
      <c r="W51" s="69">
        <v>11000000</v>
      </c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29">
        <v>30</v>
      </c>
      <c r="B52" s="30" t="s">
        <v>105</v>
      </c>
      <c r="C52" s="31" t="s">
        <v>40</v>
      </c>
      <c r="D52" s="43">
        <f t="shared" si="27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33"/>
        <v>10828400</v>
      </c>
      <c r="L52" s="37">
        <f t="shared" si="28"/>
        <v>503776</v>
      </c>
      <c r="M52" s="38">
        <f t="shared" si="29"/>
        <v>94458</v>
      </c>
      <c r="N52" s="39">
        <f t="shared" si="30"/>
        <v>62972</v>
      </c>
      <c r="O52" s="40">
        <f t="shared" si="31"/>
        <v>661206</v>
      </c>
      <c r="P52" s="38">
        <f t="shared" si="34"/>
        <v>1102010</v>
      </c>
      <c r="Q52" s="38">
        <f t="shared" si="35"/>
        <v>188916</v>
      </c>
      <c r="R52" s="38">
        <f t="shared" si="36"/>
        <v>62972</v>
      </c>
      <c r="S52" s="40">
        <f t="shared" si="32"/>
        <v>1353898</v>
      </c>
      <c r="T52" s="41">
        <f t="shared" si="37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31</v>
      </c>
      <c r="B53" s="64" t="s">
        <v>117</v>
      </c>
      <c r="C53" s="31" t="s">
        <v>40</v>
      </c>
      <c r="D53" s="43">
        <f t="shared" si="27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33"/>
        <v>10828400</v>
      </c>
      <c r="L53" s="37">
        <f t="shared" si="28"/>
        <v>503776</v>
      </c>
      <c r="M53" s="38">
        <f t="shared" si="29"/>
        <v>94458</v>
      </c>
      <c r="N53" s="39">
        <f t="shared" si="30"/>
        <v>62972</v>
      </c>
      <c r="O53" s="40">
        <f t="shared" si="31"/>
        <v>661206</v>
      </c>
      <c r="P53" s="38">
        <f>D53*17.5%</f>
        <v>1102010</v>
      </c>
      <c r="Q53" s="38">
        <f t="shared" si="35"/>
        <v>188916</v>
      </c>
      <c r="R53" s="38">
        <f t="shared" si="36"/>
        <v>62972</v>
      </c>
      <c r="S53" s="40">
        <f t="shared" si="32"/>
        <v>1353898</v>
      </c>
      <c r="T53" s="41">
        <f t="shared" si="37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ref="Y53:Y54" si="38">MAX(V53-O53-W53-X53,0)</f>
        <v>0</v>
      </c>
      <c r="Z53" s="69">
        <f t="shared" ref="Z53:Z54" si="39">ROUND(IF(Y53&gt;80000000,((Y53-80000000)*0.35+18150000),IF(AND(Y53&gt;52000000,Y53&lt;=80000000),((Y53-52000000)*0.3+9750000),IF(AND(Y53&gt;32000000,Y53&lt;=52000000),((Y53-32000000)*0.25+4750000),IF(AND(Y53&gt;18000000,Y53&lt;=32000000),((Y53-18000000)*0.2+1950000),IF(AND(Y53&gt;10000000,Y53&lt;=18000000),((Y53-10000000)*0.15+750000),IF(AND(Y53&gt;5000000,Y53&lt;=10000000),((Y53-5000000)*0.1+250000),(Y53*0.05))))))),0)</f>
        <v>0</v>
      </c>
    </row>
    <row r="54" spans="1:26" s="14" customFormat="1" ht="17.25" customHeight="1" x14ac:dyDescent="0.25">
      <c r="A54" s="29">
        <v>32</v>
      </c>
      <c r="B54" s="30" t="s">
        <v>121</v>
      </c>
      <c r="C54" s="31" t="s">
        <v>40</v>
      </c>
      <c r="D54" s="43">
        <f t="shared" si="27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33"/>
        <v>10828400</v>
      </c>
      <c r="L54" s="37">
        <f t="shared" si="28"/>
        <v>503776</v>
      </c>
      <c r="M54" s="38">
        <f t="shared" si="29"/>
        <v>94458</v>
      </c>
      <c r="N54" s="39">
        <f t="shared" si="30"/>
        <v>62972</v>
      </c>
      <c r="O54" s="40">
        <f t="shared" si="31"/>
        <v>661206</v>
      </c>
      <c r="P54" s="38">
        <f>D54*17.5%</f>
        <v>1102010</v>
      </c>
      <c r="Q54" s="38">
        <f t="shared" si="35"/>
        <v>188916</v>
      </c>
      <c r="R54" s="38">
        <f t="shared" si="36"/>
        <v>62972</v>
      </c>
      <c r="S54" s="40">
        <f t="shared" si="32"/>
        <v>1353898</v>
      </c>
      <c r="T54" s="41">
        <f t="shared" si="37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38"/>
        <v>0</v>
      </c>
      <c r="Z54" s="69">
        <f t="shared" si="39"/>
        <v>0</v>
      </c>
    </row>
    <row r="55" spans="1:26" s="14" customFormat="1" ht="21.75" customHeight="1" x14ac:dyDescent="0.25">
      <c r="A55" s="62">
        <v>33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37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40">D11+D13+D17+D48</f>
        <v>206241200</v>
      </c>
      <c r="E57" s="47">
        <f t="shared" si="40"/>
        <v>832</v>
      </c>
      <c r="F57" s="47">
        <f t="shared" si="40"/>
        <v>190910600</v>
      </c>
      <c r="G57" s="47">
        <f t="shared" si="40"/>
        <v>35330600</v>
      </c>
      <c r="H57" s="47">
        <f t="shared" si="40"/>
        <v>129461800</v>
      </c>
      <c r="I57" s="47">
        <f t="shared" si="40"/>
        <v>22630000</v>
      </c>
      <c r="J57" s="47">
        <f t="shared" si="40"/>
        <v>125222318.39300001</v>
      </c>
      <c r="K57" s="47">
        <f t="shared" si="40"/>
        <v>490390118.39300001</v>
      </c>
      <c r="L57" s="47">
        <f t="shared" si="40"/>
        <v>16499296</v>
      </c>
      <c r="M57" s="47">
        <f t="shared" si="40"/>
        <v>3093618</v>
      </c>
      <c r="N57" s="47">
        <f t="shared" si="40"/>
        <v>2062412</v>
      </c>
      <c r="O57" s="47">
        <f t="shared" si="40"/>
        <v>21655326</v>
      </c>
      <c r="P57" s="47">
        <f t="shared" si="40"/>
        <v>36092210</v>
      </c>
      <c r="Q57" s="47">
        <f t="shared" si="40"/>
        <v>6187236</v>
      </c>
      <c r="R57" s="47">
        <f t="shared" si="40"/>
        <v>2062412</v>
      </c>
      <c r="S57" s="47">
        <f t="shared" si="40"/>
        <v>44341858</v>
      </c>
      <c r="T57" s="47">
        <f>T11+T13+T17+T48</f>
        <v>465971566.39300001</v>
      </c>
      <c r="U57" s="47">
        <f t="shared" si="40"/>
        <v>0</v>
      </c>
      <c r="V57" s="47">
        <f t="shared" si="40"/>
        <v>467760118.39300001</v>
      </c>
      <c r="W57" s="47">
        <f t="shared" si="40"/>
        <v>341000000</v>
      </c>
      <c r="X57" s="47">
        <f t="shared" si="40"/>
        <v>105600000</v>
      </c>
      <c r="Y57" s="47">
        <f t="shared" si="40"/>
        <v>62138505.828000002</v>
      </c>
      <c r="Z57" s="47">
        <f t="shared" si="40"/>
        <v>4145572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138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W8:W9"/>
    <mergeCell ref="Y8:Y9"/>
    <mergeCell ref="Z8:Z9"/>
    <mergeCell ref="X8:X9"/>
    <mergeCell ref="U8:U9"/>
    <mergeCell ref="A17:C17"/>
    <mergeCell ref="A48:C48"/>
    <mergeCell ref="A57:B57"/>
    <mergeCell ref="N59:T59"/>
    <mergeCell ref="A11:C11"/>
    <mergeCell ref="N58:T58"/>
    <mergeCell ref="A13:C13"/>
    <mergeCell ref="J8:J9"/>
    <mergeCell ref="V8:V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G46" workbookViewId="0">
      <selection activeCell="B49" sqref="B4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6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14369004.331500001</v>
      </c>
      <c r="K13" s="51">
        <f t="shared" si="2"/>
        <v>57012604.331500001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53211940.331500001</v>
      </c>
      <c r="U13" s="51">
        <f t="shared" si="2"/>
        <v>0</v>
      </c>
      <c r="V13" s="51">
        <f t="shared" si="2"/>
        <v>54822604.331500001</v>
      </c>
      <c r="W13" s="51">
        <f t="shared" si="2"/>
        <v>33000000</v>
      </c>
      <c r="X13" s="51">
        <f t="shared" si="2"/>
        <v>4400000</v>
      </c>
      <c r="Y13" s="51">
        <f t="shared" si="2"/>
        <v>14372354.331500001</v>
      </c>
      <c r="Z13" s="51">
        <f t="shared" si="2"/>
        <v>750414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4850688.5140000004</v>
      </c>
      <c r="K15" s="36">
        <f>F15+G15+H15+I15+J15</f>
        <v>17783488.513999999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16625834.513999999</v>
      </c>
      <c r="U15" s="42"/>
      <c r="V15" s="68">
        <f>K15-I15</f>
        <v>17053488.513999999</v>
      </c>
      <c r="W15" s="69">
        <v>11000000</v>
      </c>
      <c r="X15" s="69"/>
      <c r="Y15" s="69">
        <f>MAX(V15-O15-W15-X15,0)</f>
        <v>5162038.5139999986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266204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9518315.8175000008</v>
      </c>
      <c r="K16" s="36">
        <f t="shared" ref="K16" si="9">F16+G16+H16+I16+J16</f>
        <v>22495315.817500003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21306478.817500003</v>
      </c>
      <c r="U16" s="42"/>
      <c r="V16" s="68">
        <f t="shared" ref="V16" si="14">K16-I16</f>
        <v>21765315.817500003</v>
      </c>
      <c r="W16" s="69">
        <v>11000000</v>
      </c>
      <c r="X16" s="69">
        <f>4400000</f>
        <v>4400000</v>
      </c>
      <c r="Y16" s="69">
        <f t="shared" ref="Y16" si="15">MAX(V16-O16-W16-X16,0)</f>
        <v>5473865.8175000027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297387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141515200</v>
      </c>
      <c r="E17" s="51">
        <f t="shared" ref="E17:Z17" si="17">SUM(E18:E46)</f>
        <v>598</v>
      </c>
      <c r="F17" s="51">
        <f t="shared" si="17"/>
        <v>118218000</v>
      </c>
      <c r="G17" s="51">
        <f t="shared" si="17"/>
        <v>23297200</v>
      </c>
      <c r="H17" s="51">
        <f t="shared" si="17"/>
        <v>100599200</v>
      </c>
      <c r="I17" s="51">
        <f>SUM(I18:I46)</f>
        <v>16790000</v>
      </c>
      <c r="J17" s="51">
        <f>SUM(J18:J46)</f>
        <v>82187050.984500006</v>
      </c>
      <c r="K17" s="51">
        <f>SUM(K18:K46)</f>
        <v>341091450.98449999</v>
      </c>
      <c r="L17" s="51">
        <f t="shared" si="17"/>
        <v>11321216</v>
      </c>
      <c r="M17" s="51">
        <f t="shared" si="17"/>
        <v>2122728</v>
      </c>
      <c r="N17" s="51">
        <f t="shared" si="17"/>
        <v>1415152</v>
      </c>
      <c r="O17" s="51">
        <f t="shared" si="17"/>
        <v>14859096</v>
      </c>
      <c r="P17" s="51">
        <f t="shared" si="17"/>
        <v>24765160</v>
      </c>
      <c r="Q17" s="51">
        <f t="shared" si="17"/>
        <v>4245456</v>
      </c>
      <c r="R17" s="51">
        <f t="shared" si="17"/>
        <v>1415152</v>
      </c>
      <c r="S17" s="51">
        <f t="shared" si="17"/>
        <v>30425768</v>
      </c>
      <c r="T17" s="51">
        <f t="shared" si="17"/>
        <v>324401995.98449999</v>
      </c>
      <c r="U17" s="51">
        <f t="shared" si="17"/>
        <v>0</v>
      </c>
      <c r="V17" s="51">
        <f t="shared" si="17"/>
        <v>324301450.98449999</v>
      </c>
      <c r="W17" s="51">
        <f t="shared" si="17"/>
        <v>275000000</v>
      </c>
      <c r="X17" s="51">
        <f t="shared" si="17"/>
        <v>88000000</v>
      </c>
      <c r="Y17" s="51">
        <f t="shared" si="17"/>
        <v>34839222.803500004</v>
      </c>
      <c r="Z17" s="51">
        <f t="shared" si="17"/>
        <v>1830359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3464777.5100000002</v>
      </c>
      <c r="K19" s="36">
        <f t="shared" ref="K19:K36" si="19">F19+G19+H19+I19+J19</f>
        <v>13651977.51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7" si="28">K19-O19-Z19</f>
        <v>13048815.51</v>
      </c>
      <c r="U19" s="42"/>
      <c r="V19" s="68">
        <f t="shared" si="1"/>
        <v>12921977.51</v>
      </c>
      <c r="W19" s="69">
        <v>11000000</v>
      </c>
      <c r="X19" s="69">
        <f>4400000</f>
        <v>4400000</v>
      </c>
      <c r="Y19" s="69">
        <f t="shared" ref="Y19:Y56" si="29">MAX(V19-O19-W19-X19,0)</f>
        <v>0</v>
      </c>
      <c r="Z19" s="69">
        <f t="shared" ref="Z19:Z56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/>
      <c r="E20" s="33"/>
      <c r="F20" s="34"/>
      <c r="G20" s="34"/>
      <c r="H20" s="35"/>
      <c r="I20" s="35"/>
      <c r="J20" s="35">
        <v>0</v>
      </c>
      <c r="K20" s="36">
        <f t="shared" si="19"/>
        <v>0</v>
      </c>
      <c r="L20" s="37">
        <f t="shared" si="20"/>
        <v>0</v>
      </c>
      <c r="M20" s="38">
        <f t="shared" si="21"/>
        <v>0</v>
      </c>
      <c r="N20" s="39">
        <f t="shared" si="22"/>
        <v>0</v>
      </c>
      <c r="O20" s="40">
        <f t="shared" si="23"/>
        <v>0</v>
      </c>
      <c r="P20" s="38">
        <f t="shared" si="24"/>
        <v>0</v>
      </c>
      <c r="Q20" s="38">
        <f t="shared" si="25"/>
        <v>0</v>
      </c>
      <c r="R20" s="38">
        <f t="shared" si="26"/>
        <v>0</v>
      </c>
      <c r="S20" s="40">
        <f t="shared" si="27"/>
        <v>0</v>
      </c>
      <c r="T20" s="41">
        <f t="shared" si="28"/>
        <v>0</v>
      </c>
      <c r="U20" s="42"/>
      <c r="V20" s="68">
        <f t="shared" si="1"/>
        <v>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2771822.0079999999</v>
      </c>
      <c r="K22" s="36">
        <f t="shared" si="19"/>
        <v>14330822.007999999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13727492.007999999</v>
      </c>
      <c r="U22" s="42"/>
      <c r="V22" s="68">
        <f t="shared" si="1"/>
        <v>13600822.007999999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2771822.0079999999</v>
      </c>
      <c r="K23" s="36">
        <f t="shared" si="19"/>
        <v>14330822.007999999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13627617.007999999</v>
      </c>
      <c r="U23" s="42"/>
      <c r="V23" s="68">
        <f t="shared" si="1"/>
        <v>13600822.007999999</v>
      </c>
      <c r="W23" s="69">
        <v>11000000</v>
      </c>
      <c r="X23" s="69"/>
      <c r="Y23" s="69">
        <f t="shared" si="29"/>
        <v>1997492.0079999994</v>
      </c>
      <c r="Z23" s="69">
        <f t="shared" si="30"/>
        <v>99875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2771822.0079999999</v>
      </c>
      <c r="K24" s="36">
        <f t="shared" si="19"/>
        <v>14330822.007999999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13627617.007999999</v>
      </c>
      <c r="U24" s="42"/>
      <c r="V24" s="68">
        <f t="shared" si="1"/>
        <v>13600822.007999999</v>
      </c>
      <c r="W24" s="69">
        <v>11000000</v>
      </c>
      <c r="X24" s="69"/>
      <c r="Y24" s="69">
        <f t="shared" si="29"/>
        <v>1997492.0079999994</v>
      </c>
      <c r="Z24" s="69">
        <f t="shared" si="30"/>
        <v>99875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3464777.5100000002</v>
      </c>
      <c r="K25" s="36">
        <f t="shared" si="19"/>
        <v>14183977.51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13524955.51</v>
      </c>
      <c r="U25" s="42"/>
      <c r="V25" s="68">
        <f t="shared" si="1"/>
        <v>13453977.51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4079278.2075</v>
      </c>
      <c r="K26" s="36">
        <f t="shared" si="19"/>
        <v>15638278.2075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14869701.2075</v>
      </c>
      <c r="U26" s="42"/>
      <c r="V26" s="68">
        <f t="shared" si="1"/>
        <v>14908278.2075</v>
      </c>
      <c r="W26" s="69">
        <v>11000000</v>
      </c>
      <c r="X26" s="69"/>
      <c r="Y26" s="69">
        <f t="shared" si="29"/>
        <v>3304948.2074999996</v>
      </c>
      <c r="Z26" s="69">
        <f t="shared" si="30"/>
        <v>165247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3464777.5100000002</v>
      </c>
      <c r="K27" s="36">
        <f t="shared" si="19"/>
        <v>15023777.51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14285925.51</v>
      </c>
      <c r="U27" s="42"/>
      <c r="V27" s="68">
        <f t="shared" si="1"/>
        <v>14293777.51</v>
      </c>
      <c r="W27" s="69">
        <v>11000000</v>
      </c>
      <c r="X27" s="69"/>
      <c r="Y27" s="69">
        <f t="shared" si="29"/>
        <v>2690447.51</v>
      </c>
      <c r="Z27" s="69">
        <f t="shared" si="30"/>
        <v>134522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4079278.2075</v>
      </c>
      <c r="K28" s="36">
        <f t="shared" si="19"/>
        <v>15638278.2075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15034948.2075</v>
      </c>
      <c r="U28" s="42"/>
      <c r="V28" s="68">
        <f t="shared" si="1"/>
        <v>14908278.2075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5439037.6100000003</v>
      </c>
      <c r="K29" s="36">
        <f t="shared" si="19"/>
        <v>16158237.609999999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15499215.609999999</v>
      </c>
      <c r="U29" s="42"/>
      <c r="V29" s="68">
        <f t="shared" si="1"/>
        <v>15428237.609999999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5439037.6100000003</v>
      </c>
      <c r="K30" s="36">
        <f t="shared" si="19"/>
        <v>16158237.609999999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15499215.609999999</v>
      </c>
      <c r="U30" s="42"/>
      <c r="V30" s="68">
        <f t="shared" si="1"/>
        <v>15428237.609999999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4079278.2075</v>
      </c>
      <c r="K31" s="36">
        <f t="shared" si="19"/>
        <v>15638278.2075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15034948.2075</v>
      </c>
      <c r="U31" s="42"/>
      <c r="V31" s="68">
        <f t="shared" si="1"/>
        <v>14908278.2075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91</v>
      </c>
      <c r="C32" s="30" t="s">
        <v>30</v>
      </c>
      <c r="D32" s="32">
        <f t="shared" ref="D32" si="31">F32+G32</f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89">
        <v>4079278.2075</v>
      </c>
      <c r="K32" s="36">
        <f t="shared" ref="K32" si="32">F32+G32+H32+I32+J32</f>
        <v>15638278.2075</v>
      </c>
      <c r="L32" s="37">
        <f t="shared" ref="L32" si="33">D32*8%</f>
        <v>459680</v>
      </c>
      <c r="M32" s="38">
        <f t="shared" ref="M32" si="34">D32*1.5%</f>
        <v>86190</v>
      </c>
      <c r="N32" s="39">
        <f t="shared" ref="N32" si="35">D32*1%</f>
        <v>57460</v>
      </c>
      <c r="O32" s="40">
        <f t="shared" ref="O32" si="36">L32+M32+N32</f>
        <v>603330</v>
      </c>
      <c r="P32" s="38">
        <f t="shared" ref="P32" si="37">D32*17.5%</f>
        <v>1005549.9999999999</v>
      </c>
      <c r="Q32" s="38">
        <f t="shared" ref="Q32" si="38">D32*3%</f>
        <v>172380</v>
      </c>
      <c r="R32" s="38">
        <f t="shared" ref="R32" si="39">D32*1%</f>
        <v>57460</v>
      </c>
      <c r="S32" s="40">
        <f t="shared" ref="S32" si="40">P32+Q32+R32</f>
        <v>1235390</v>
      </c>
      <c r="T32" s="41">
        <f t="shared" ref="T32" si="41">K32-O32-Z32</f>
        <v>14869701.2075</v>
      </c>
      <c r="U32" s="94"/>
      <c r="V32" s="68">
        <f t="shared" ref="V32" si="42">K32-I32</f>
        <v>14908278.2075</v>
      </c>
      <c r="W32" s="69">
        <v>11000000</v>
      </c>
      <c r="X32" s="69">
        <v>0</v>
      </c>
      <c r="Y32" s="95">
        <f t="shared" si="29"/>
        <v>3304948.2074999996</v>
      </c>
      <c r="Z32" s="95">
        <f t="shared" si="30"/>
        <v>165247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0</v>
      </c>
      <c r="K33" s="36">
        <f t="shared" si="19"/>
        <v>11559000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10955670</v>
      </c>
      <c r="U33" s="42"/>
      <c r="V33" s="68">
        <f t="shared" si="1"/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2771822.0079999999</v>
      </c>
      <c r="K34" s="36">
        <f t="shared" si="19"/>
        <v>15282422.007999999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14449226.007999999</v>
      </c>
      <c r="U34" s="42"/>
      <c r="V34" s="68">
        <f t="shared" si="1"/>
        <v>14552422.007999999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8158556.415</v>
      </c>
      <c r="K35" s="36">
        <f t="shared" si="19"/>
        <v>19189756.414999999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18071177.414999999</v>
      </c>
      <c r="U35" s="42"/>
      <c r="V35" s="68">
        <f t="shared" si="1"/>
        <v>18459756.414999999</v>
      </c>
      <c r="W35" s="69">
        <v>11000000</v>
      </c>
      <c r="X35" s="69"/>
      <c r="Y35" s="69">
        <f t="shared" si="29"/>
        <v>6767974.4149999991</v>
      </c>
      <c r="Z35" s="69">
        <f t="shared" si="30"/>
        <v>426797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3464777.5100000002</v>
      </c>
      <c r="K36" s="36">
        <f t="shared" si="19"/>
        <v>14495977.51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13804195.51</v>
      </c>
      <c r="U36" s="42"/>
      <c r="V36" s="68">
        <f t="shared" si="1"/>
        <v>13765977.51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2771822.0079999999</v>
      </c>
      <c r="K38" s="36">
        <f>F38+G38+H38+I38+J38</f>
        <v>13803022.007999999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13042178.007999999</v>
      </c>
      <c r="U38" s="42"/>
      <c r="V38" s="68">
        <f t="shared" si="1"/>
        <v>13073022.007999999</v>
      </c>
      <c r="W38" s="69">
        <v>11000000</v>
      </c>
      <c r="X38" s="69"/>
      <c r="Y38" s="69">
        <f t="shared" si="29"/>
        <v>1381240.0079999994</v>
      </c>
      <c r="Z38" s="69">
        <f t="shared" si="30"/>
        <v>69062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2771822.0079999999</v>
      </c>
      <c r="K39" s="36">
        <f>F39+G39+H39+I39+J39</f>
        <v>13803022.007999999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13042178.007999999</v>
      </c>
      <c r="U39" s="42"/>
      <c r="V39" s="68">
        <f t="shared" si="1"/>
        <v>13073022.007999999</v>
      </c>
      <c r="W39" s="69">
        <v>11000000</v>
      </c>
      <c r="X39" s="69"/>
      <c r="Y39" s="69">
        <f t="shared" si="29"/>
        <v>1381240.0079999994</v>
      </c>
      <c r="Z39" s="69">
        <f t="shared" si="30"/>
        <v>69062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8" si="43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4079278.2075</v>
      </c>
      <c r="K42" s="36">
        <f t="shared" ref="K42:K48" si="44">F42+G42+H42+I42+J42</f>
        <v>15638278.2075</v>
      </c>
      <c r="L42" s="37">
        <f t="shared" ref="L42:L48" si="45">D42*8%</f>
        <v>459680</v>
      </c>
      <c r="M42" s="38">
        <f t="shared" ref="M42:M48" si="46">D42*1.5%</f>
        <v>86190</v>
      </c>
      <c r="N42" s="39">
        <f t="shared" ref="N42:N48" si="47">D42*1%</f>
        <v>57460</v>
      </c>
      <c r="O42" s="40">
        <f t="shared" ref="O42" si="48">L42+M42+N42</f>
        <v>603330</v>
      </c>
      <c r="P42" s="38">
        <f t="shared" ref="P42" si="49">D42*17.5%</f>
        <v>1005549.9999999999</v>
      </c>
      <c r="Q42" s="38">
        <f t="shared" ref="Q42:Q48" si="50">D42*3%</f>
        <v>172380</v>
      </c>
      <c r="R42" s="38">
        <f t="shared" ref="R42:R48" si="51">D42*1%</f>
        <v>57460</v>
      </c>
      <c r="S42" s="40">
        <f t="shared" ref="S42:S48" si="52">P42+Q42+R42</f>
        <v>1235390</v>
      </c>
      <c r="T42" s="41">
        <f t="shared" ref="T42:T48" si="53">K42-O42-Z42</f>
        <v>14869701.2075</v>
      </c>
      <c r="U42" s="42"/>
      <c r="V42" s="68">
        <f t="shared" ref="V42:V48" si="54">K42-I42</f>
        <v>14908278.2075</v>
      </c>
      <c r="W42" s="69">
        <v>11000000</v>
      </c>
      <c r="X42" s="69"/>
      <c r="Y42" s="69">
        <f t="shared" ref="Y42:Y48" si="55">MAX(V42-O42-W42-X42,0)</f>
        <v>3304948.2074999996</v>
      </c>
      <c r="Z42" s="69">
        <f t="shared" ref="Z42:Z48" si="56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165247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/>
      <c r="E43" s="33"/>
      <c r="F43" s="34"/>
      <c r="G43" s="34"/>
      <c r="H43" s="35"/>
      <c r="I43" s="35"/>
      <c r="J43" s="35">
        <v>0</v>
      </c>
      <c r="K43" s="36">
        <f t="shared" si="44"/>
        <v>0</v>
      </c>
      <c r="L43" s="37">
        <f t="shared" si="45"/>
        <v>0</v>
      </c>
      <c r="M43" s="38">
        <f t="shared" si="46"/>
        <v>0</v>
      </c>
      <c r="N43" s="39">
        <f t="shared" si="47"/>
        <v>0</v>
      </c>
      <c r="O43" s="40">
        <f>L43+M43+N43</f>
        <v>0</v>
      </c>
      <c r="P43" s="38">
        <f>D43*17.5%</f>
        <v>0</v>
      </c>
      <c r="Q43" s="38">
        <f t="shared" si="50"/>
        <v>0</v>
      </c>
      <c r="R43" s="38">
        <f t="shared" si="51"/>
        <v>0</v>
      </c>
      <c r="S43" s="40">
        <f t="shared" si="52"/>
        <v>0</v>
      </c>
      <c r="T43" s="41">
        <f t="shared" si="53"/>
        <v>0</v>
      </c>
      <c r="U43" s="42"/>
      <c r="V43" s="68">
        <f t="shared" si="54"/>
        <v>0</v>
      </c>
      <c r="W43" s="69">
        <v>11000000</v>
      </c>
      <c r="X43" s="69"/>
      <c r="Y43" s="69">
        <f t="shared" si="55"/>
        <v>0</v>
      </c>
      <c r="Z43" s="69">
        <f t="shared" si="56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43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5439037.6100000003</v>
      </c>
      <c r="K44" s="36">
        <f t="shared" si="44"/>
        <v>16470237.609999999</v>
      </c>
      <c r="L44" s="37">
        <f t="shared" si="45"/>
        <v>527072</v>
      </c>
      <c r="M44" s="38">
        <f t="shared" si="46"/>
        <v>98826</v>
      </c>
      <c r="N44" s="39">
        <f t="shared" si="47"/>
        <v>65884</v>
      </c>
      <c r="O44" s="40">
        <f>L44+M44+N44</f>
        <v>691782</v>
      </c>
      <c r="P44" s="38">
        <f>D44*17.5%</f>
        <v>1152970</v>
      </c>
      <c r="Q44" s="38">
        <f t="shared" si="50"/>
        <v>197652</v>
      </c>
      <c r="R44" s="38">
        <f t="shared" si="51"/>
        <v>65884</v>
      </c>
      <c r="S44" s="40">
        <f t="shared" si="52"/>
        <v>1416506</v>
      </c>
      <c r="T44" s="41">
        <f t="shared" si="53"/>
        <v>15576032.609999999</v>
      </c>
      <c r="U44" s="42"/>
      <c r="V44" s="68">
        <f t="shared" si="54"/>
        <v>15740237.609999999</v>
      </c>
      <c r="W44" s="69">
        <v>11000000</v>
      </c>
      <c r="X44" s="69"/>
      <c r="Y44" s="69">
        <f t="shared" si="55"/>
        <v>4048455.6099999994</v>
      </c>
      <c r="Z44" s="69">
        <f t="shared" si="56"/>
        <v>202423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43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5439037.6100000003</v>
      </c>
      <c r="K45" s="36">
        <f t="shared" si="44"/>
        <v>16470237.609999999</v>
      </c>
      <c r="L45" s="37">
        <f t="shared" si="45"/>
        <v>527072</v>
      </c>
      <c r="M45" s="38">
        <f t="shared" si="46"/>
        <v>98826</v>
      </c>
      <c r="N45" s="39">
        <f t="shared" si="47"/>
        <v>65884</v>
      </c>
      <c r="O45" s="40">
        <f>L45+M45+N45</f>
        <v>691782</v>
      </c>
      <c r="P45" s="38">
        <f>D45*17.5%</f>
        <v>1152970</v>
      </c>
      <c r="Q45" s="38">
        <f t="shared" si="50"/>
        <v>197652</v>
      </c>
      <c r="R45" s="38">
        <f t="shared" si="51"/>
        <v>65884</v>
      </c>
      <c r="S45" s="40">
        <f t="shared" si="52"/>
        <v>1416506</v>
      </c>
      <c r="T45" s="41">
        <f t="shared" si="53"/>
        <v>15576032.609999999</v>
      </c>
      <c r="U45" s="42"/>
      <c r="V45" s="68">
        <f t="shared" si="54"/>
        <v>15740237.609999999</v>
      </c>
      <c r="W45" s="69">
        <v>11000000</v>
      </c>
      <c r="X45" s="69"/>
      <c r="Y45" s="69">
        <f t="shared" si="55"/>
        <v>4048455.6099999994</v>
      </c>
      <c r="Z45" s="69">
        <f t="shared" si="56"/>
        <v>202423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43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1385911.004</v>
      </c>
      <c r="K46" s="36">
        <f t="shared" si="44"/>
        <v>12944911.004000001</v>
      </c>
      <c r="L46" s="37">
        <f t="shared" si="45"/>
        <v>459680</v>
      </c>
      <c r="M46" s="38">
        <f t="shared" si="46"/>
        <v>86190</v>
      </c>
      <c r="N46" s="39">
        <f t="shared" si="47"/>
        <v>57460</v>
      </c>
      <c r="O46" s="40">
        <f t="shared" ref="O46:O48" si="57">L46+M46+N46</f>
        <v>603330</v>
      </c>
      <c r="P46" s="38">
        <f t="shared" ref="P46:P48" si="58">D46*17.5%</f>
        <v>1005549.9999999999</v>
      </c>
      <c r="Q46" s="38">
        <f t="shared" si="50"/>
        <v>172380</v>
      </c>
      <c r="R46" s="38">
        <f t="shared" si="51"/>
        <v>57460</v>
      </c>
      <c r="S46" s="40">
        <f t="shared" si="52"/>
        <v>1235390</v>
      </c>
      <c r="T46" s="41">
        <f t="shared" si="53"/>
        <v>12311002.004000001</v>
      </c>
      <c r="U46" s="42"/>
      <c r="V46" s="68">
        <f t="shared" si="54"/>
        <v>12214911.004000001</v>
      </c>
      <c r="W46" s="69">
        <v>11000000</v>
      </c>
      <c r="X46" s="69"/>
      <c r="Y46" s="69">
        <f t="shared" si="55"/>
        <v>611581.00400000066</v>
      </c>
      <c r="Z46" s="69">
        <f t="shared" si="56"/>
        <v>30579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43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89">
        <v>2771822.0079999999</v>
      </c>
      <c r="K47" s="36">
        <f t="shared" si="44"/>
        <v>13491022.007999999</v>
      </c>
      <c r="L47" s="37">
        <f t="shared" si="45"/>
        <v>502112</v>
      </c>
      <c r="M47" s="38">
        <f t="shared" si="46"/>
        <v>94146</v>
      </c>
      <c r="N47" s="39">
        <f t="shared" si="47"/>
        <v>62764</v>
      </c>
      <c r="O47" s="40">
        <f t="shared" si="57"/>
        <v>659022</v>
      </c>
      <c r="P47" s="38">
        <f t="shared" si="58"/>
        <v>1098370</v>
      </c>
      <c r="Q47" s="38">
        <f t="shared" si="50"/>
        <v>188292</v>
      </c>
      <c r="R47" s="38">
        <f t="shared" si="51"/>
        <v>62764</v>
      </c>
      <c r="S47" s="40">
        <f t="shared" si="52"/>
        <v>1349426</v>
      </c>
      <c r="T47" s="41">
        <f t="shared" si="53"/>
        <v>12832000.007999999</v>
      </c>
      <c r="U47" s="42"/>
      <c r="V47" s="68">
        <f t="shared" si="54"/>
        <v>12761022.007999999</v>
      </c>
      <c r="W47" s="69">
        <v>11000000</v>
      </c>
      <c r="X47" s="69">
        <f>4400000</f>
        <v>4400000</v>
      </c>
      <c r="Y47" s="69">
        <f t="shared" si="55"/>
        <v>0</v>
      </c>
      <c r="Z47" s="69">
        <f t="shared" si="56"/>
        <v>0</v>
      </c>
    </row>
    <row r="48" spans="1:26" s="53" customFormat="1" ht="21.75" customHeight="1" x14ac:dyDescent="0.25">
      <c r="A48" s="62">
        <v>31</v>
      </c>
      <c r="B48" s="30" t="s">
        <v>157</v>
      </c>
      <c r="C48" s="30" t="s">
        <v>30</v>
      </c>
      <c r="D48" s="32">
        <f t="shared" si="43"/>
        <v>5746000</v>
      </c>
      <c r="E48" s="33">
        <v>26</v>
      </c>
      <c r="F48" s="34">
        <v>4773600</v>
      </c>
      <c r="G48" s="34">
        <v>972400</v>
      </c>
      <c r="H48" s="35">
        <v>5083000</v>
      </c>
      <c r="I48" s="35">
        <v>730000</v>
      </c>
      <c r="J48" s="35">
        <v>4079278.2075</v>
      </c>
      <c r="K48" s="36">
        <f t="shared" si="44"/>
        <v>15638278.2075</v>
      </c>
      <c r="L48" s="37">
        <f t="shared" si="45"/>
        <v>459680</v>
      </c>
      <c r="M48" s="38">
        <f t="shared" si="46"/>
        <v>86190</v>
      </c>
      <c r="N48" s="39">
        <f t="shared" si="47"/>
        <v>57460</v>
      </c>
      <c r="O48" s="40">
        <f t="shared" si="57"/>
        <v>603330</v>
      </c>
      <c r="P48" s="38">
        <f t="shared" si="58"/>
        <v>1005549.9999999999</v>
      </c>
      <c r="Q48" s="38">
        <f t="shared" si="50"/>
        <v>172380</v>
      </c>
      <c r="R48" s="38">
        <f t="shared" si="51"/>
        <v>57460</v>
      </c>
      <c r="S48" s="40">
        <f t="shared" si="52"/>
        <v>1235390</v>
      </c>
      <c r="T48" s="41">
        <f t="shared" si="53"/>
        <v>14869701.2075</v>
      </c>
      <c r="U48" s="94"/>
      <c r="V48" s="68">
        <f t="shared" si="54"/>
        <v>14908278.2075</v>
      </c>
      <c r="W48" s="69">
        <v>11000000</v>
      </c>
      <c r="X48" s="69">
        <v>0</v>
      </c>
      <c r="Y48" s="95">
        <f t="shared" si="55"/>
        <v>3304948.2074999996</v>
      </c>
      <c r="Z48" s="95">
        <f t="shared" si="56"/>
        <v>165247</v>
      </c>
    </row>
    <row r="49" spans="1:26" s="53" customFormat="1" ht="21.75" customHeight="1" x14ac:dyDescent="0.25">
      <c r="A49" s="62">
        <v>32</v>
      </c>
      <c r="B49" s="30"/>
      <c r="C49" s="31"/>
      <c r="D49" s="32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68"/>
      <c r="W49" s="69"/>
      <c r="X49" s="69"/>
      <c r="Y49" s="69"/>
      <c r="Z49" s="69"/>
    </row>
    <row r="50" spans="1:26" s="26" customFormat="1" ht="21.75" customHeight="1" x14ac:dyDescent="0.25">
      <c r="A50" s="112" t="s">
        <v>38</v>
      </c>
      <c r="B50" s="113"/>
      <c r="C50" s="114"/>
      <c r="D50" s="51">
        <f>SUM(D51:D57)</f>
        <v>30183000</v>
      </c>
      <c r="E50" s="51">
        <f t="shared" ref="E50:Z50" si="59">SUM(E51:E57)</f>
        <v>130</v>
      </c>
      <c r="F50" s="51">
        <f t="shared" si="59"/>
        <v>24476200</v>
      </c>
      <c r="G50" s="51">
        <f t="shared" si="59"/>
        <v>5706800</v>
      </c>
      <c r="H50" s="51">
        <f t="shared" si="59"/>
        <v>18917600</v>
      </c>
      <c r="I50" s="51">
        <f>SUM(I51:I57)</f>
        <v>3650000</v>
      </c>
      <c r="J50" s="51">
        <f t="shared" si="59"/>
        <v>0</v>
      </c>
      <c r="K50" s="51">
        <f t="shared" si="59"/>
        <v>52750600</v>
      </c>
      <c r="L50" s="51">
        <f t="shared" si="59"/>
        <v>2414640</v>
      </c>
      <c r="M50" s="51">
        <f t="shared" si="59"/>
        <v>452745</v>
      </c>
      <c r="N50" s="51">
        <f t="shared" si="59"/>
        <v>301830</v>
      </c>
      <c r="O50" s="51">
        <f t="shared" si="59"/>
        <v>3169215</v>
      </c>
      <c r="P50" s="51">
        <f t="shared" si="59"/>
        <v>5282025</v>
      </c>
      <c r="Q50" s="51">
        <f t="shared" si="59"/>
        <v>905490</v>
      </c>
      <c r="R50" s="51">
        <f t="shared" si="59"/>
        <v>301830</v>
      </c>
      <c r="S50" s="51">
        <f t="shared" si="59"/>
        <v>6489345</v>
      </c>
      <c r="T50" s="51">
        <f t="shared" si="59"/>
        <v>49581385</v>
      </c>
      <c r="U50" s="51">
        <f t="shared" si="59"/>
        <v>0</v>
      </c>
      <c r="V50" s="51">
        <f t="shared" si="59"/>
        <v>49100600</v>
      </c>
      <c r="W50" s="51">
        <f t="shared" si="59"/>
        <v>55000000</v>
      </c>
      <c r="X50" s="51">
        <f t="shared" si="59"/>
        <v>0</v>
      </c>
      <c r="Y50" s="51">
        <f t="shared" si="59"/>
        <v>0</v>
      </c>
      <c r="Z50" s="51">
        <f t="shared" si="59"/>
        <v>0</v>
      </c>
    </row>
    <row r="51" spans="1:26" s="26" customFormat="1" ht="21.75" customHeight="1" x14ac:dyDescent="0.25">
      <c r="A51" s="29">
        <v>30</v>
      </c>
      <c r="B51" s="30" t="s">
        <v>42</v>
      </c>
      <c r="C51" s="31" t="s">
        <v>41</v>
      </c>
      <c r="D51" s="43">
        <f t="shared" ref="D51:D56" si="60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6" si="61">D51*8%</f>
        <v>443632</v>
      </c>
      <c r="M51" s="38">
        <f t="shared" ref="M51:M56" si="62">D51*1.5%</f>
        <v>83181</v>
      </c>
      <c r="N51" s="39">
        <f t="shared" ref="N51:N56" si="63">D51*1%</f>
        <v>55454</v>
      </c>
      <c r="O51" s="40">
        <f t="shared" ref="O51:O56" si="64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6" si="65">P51+Q51+R51</f>
        <v>1192261</v>
      </c>
      <c r="T51" s="41">
        <f t="shared" si="28"/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si="29"/>
        <v>0</v>
      </c>
      <c r="Z51" s="69">
        <f t="shared" si="30"/>
        <v>0</v>
      </c>
    </row>
    <row r="52" spans="1:26" s="26" customFormat="1" ht="21.75" customHeight="1" x14ac:dyDescent="0.25">
      <c r="A52" s="29"/>
      <c r="B52" s="30" t="s">
        <v>79</v>
      </c>
      <c r="C52" s="31" t="s">
        <v>29</v>
      </c>
      <c r="D52" s="43"/>
      <c r="E52" s="33"/>
      <c r="F52" s="34"/>
      <c r="G52" s="34"/>
      <c r="H52" s="35"/>
      <c r="I52" s="35"/>
      <c r="J52" s="35"/>
      <c r="K52" s="36"/>
      <c r="L52" s="37"/>
      <c r="M52" s="38"/>
      <c r="N52" s="39"/>
      <c r="O52" s="40"/>
      <c r="P52" s="38"/>
      <c r="Q52" s="38"/>
      <c r="R52" s="38"/>
      <c r="S52" s="40"/>
      <c r="T52" s="41"/>
      <c r="U52" s="42"/>
      <c r="V52" s="68"/>
      <c r="W52" s="69"/>
      <c r="X52" s="69"/>
      <c r="Y52" s="69"/>
      <c r="Z52" s="69"/>
    </row>
    <row r="53" spans="1:26" s="14" customFormat="1" ht="21.75" customHeight="1" x14ac:dyDescent="0.25">
      <c r="A53" s="29"/>
      <c r="B53" s="30" t="s">
        <v>81</v>
      </c>
      <c r="C53" s="31" t="s">
        <v>41</v>
      </c>
      <c r="D53" s="43"/>
      <c r="E53" s="33"/>
      <c r="F53" s="34"/>
      <c r="G53" s="34"/>
      <c r="H53" s="35"/>
      <c r="I53" s="35"/>
      <c r="J53" s="35"/>
      <c r="K53" s="36"/>
      <c r="L53" s="37"/>
      <c r="M53" s="38"/>
      <c r="N53" s="39"/>
      <c r="O53" s="40"/>
      <c r="P53" s="38"/>
      <c r="Q53" s="38"/>
      <c r="R53" s="38"/>
      <c r="S53" s="40"/>
      <c r="T53" s="41"/>
      <c r="U53" s="42"/>
      <c r="V53" s="68"/>
      <c r="W53" s="69"/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31</v>
      </c>
      <c r="B54" s="30" t="s">
        <v>105</v>
      </c>
      <c r="C54" s="31" t="s">
        <v>40</v>
      </c>
      <c r="D54" s="43">
        <f t="shared" si="6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>F54+G54+H54+I54+J54</f>
        <v>10828400</v>
      </c>
      <c r="L54" s="37">
        <f t="shared" si="61"/>
        <v>503776</v>
      </c>
      <c r="M54" s="38">
        <f t="shared" si="62"/>
        <v>94458</v>
      </c>
      <c r="N54" s="39">
        <f t="shared" si="63"/>
        <v>62972</v>
      </c>
      <c r="O54" s="40">
        <f t="shared" si="64"/>
        <v>661206</v>
      </c>
      <c r="P54" s="38">
        <f t="shared" ref="P54" si="66">D54*17.5%</f>
        <v>1102010</v>
      </c>
      <c r="Q54" s="38">
        <f t="shared" ref="Q54:Q56" si="67">D54*3%</f>
        <v>188916</v>
      </c>
      <c r="R54" s="38">
        <f t="shared" ref="R54:R56" si="68">D54*1%</f>
        <v>62972</v>
      </c>
      <c r="S54" s="40">
        <f t="shared" si="65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17.25" customHeight="1" x14ac:dyDescent="0.25">
      <c r="A55" s="29">
        <v>32</v>
      </c>
      <c r="B55" s="64" t="s">
        <v>117</v>
      </c>
      <c r="C55" s="31" t="s">
        <v>40</v>
      </c>
      <c r="D55" s="43">
        <f t="shared" si="60"/>
        <v>6297200</v>
      </c>
      <c r="E55" s="33">
        <v>26</v>
      </c>
      <c r="F55" s="34">
        <v>5148000</v>
      </c>
      <c r="G55" s="34">
        <v>1149200</v>
      </c>
      <c r="H55" s="35">
        <v>3801200</v>
      </c>
      <c r="I55" s="35">
        <v>730000</v>
      </c>
      <c r="J55" s="35"/>
      <c r="K55" s="36">
        <f>F55+G55+H55+I55+J55</f>
        <v>10828400</v>
      </c>
      <c r="L55" s="37">
        <f t="shared" si="61"/>
        <v>503776</v>
      </c>
      <c r="M55" s="38">
        <f t="shared" si="62"/>
        <v>94458</v>
      </c>
      <c r="N55" s="39">
        <f t="shared" si="63"/>
        <v>62972</v>
      </c>
      <c r="O55" s="40">
        <f t="shared" si="64"/>
        <v>661206</v>
      </c>
      <c r="P55" s="38">
        <f>D55*17.5%</f>
        <v>1102010</v>
      </c>
      <c r="Q55" s="38">
        <f t="shared" si="67"/>
        <v>188916</v>
      </c>
      <c r="R55" s="38">
        <f t="shared" si="68"/>
        <v>62972</v>
      </c>
      <c r="S55" s="40">
        <f t="shared" si="65"/>
        <v>1353898</v>
      </c>
      <c r="T55" s="41">
        <f t="shared" si="28"/>
        <v>10167194</v>
      </c>
      <c r="U55" s="42"/>
      <c r="V55" s="68">
        <f t="shared" si="1"/>
        <v>10098400</v>
      </c>
      <c r="W55" s="69">
        <v>11000000</v>
      </c>
      <c r="X55" s="69"/>
      <c r="Y55" s="69">
        <f t="shared" si="29"/>
        <v>0</v>
      </c>
      <c r="Z55" s="69">
        <f t="shared" si="30"/>
        <v>0</v>
      </c>
    </row>
    <row r="56" spans="1:26" s="14" customFormat="1" ht="17.25" customHeight="1" x14ac:dyDescent="0.25">
      <c r="A56" s="62">
        <v>33</v>
      </c>
      <c r="B56" s="30" t="s">
        <v>121</v>
      </c>
      <c r="C56" s="31" t="s">
        <v>40</v>
      </c>
      <c r="D56" s="43">
        <f t="shared" si="60"/>
        <v>6297200</v>
      </c>
      <c r="E56" s="33">
        <v>26</v>
      </c>
      <c r="F56" s="34">
        <v>5148000</v>
      </c>
      <c r="G56" s="34">
        <v>1149200</v>
      </c>
      <c r="H56" s="35">
        <v>3801200</v>
      </c>
      <c r="I56" s="35">
        <v>730000</v>
      </c>
      <c r="J56" s="35"/>
      <c r="K56" s="36">
        <f>F56+G56+H56+I56+J56</f>
        <v>10828400</v>
      </c>
      <c r="L56" s="37">
        <f t="shared" si="61"/>
        <v>503776</v>
      </c>
      <c r="M56" s="38">
        <f t="shared" si="62"/>
        <v>94458</v>
      </c>
      <c r="N56" s="39">
        <f t="shared" si="63"/>
        <v>62972</v>
      </c>
      <c r="O56" s="40">
        <f t="shared" si="64"/>
        <v>661206</v>
      </c>
      <c r="P56" s="38">
        <f>D56*17.5%</f>
        <v>1102010</v>
      </c>
      <c r="Q56" s="38">
        <f t="shared" si="67"/>
        <v>188916</v>
      </c>
      <c r="R56" s="38">
        <f t="shared" si="68"/>
        <v>62972</v>
      </c>
      <c r="S56" s="40">
        <f t="shared" si="65"/>
        <v>1353898</v>
      </c>
      <c r="T56" s="41">
        <f t="shared" si="28"/>
        <v>10167194</v>
      </c>
      <c r="U56" s="42"/>
      <c r="V56" s="68">
        <f t="shared" si="1"/>
        <v>10098400</v>
      </c>
      <c r="W56" s="69">
        <v>11000000</v>
      </c>
      <c r="X56" s="69"/>
      <c r="Y56" s="69">
        <f t="shared" si="29"/>
        <v>0</v>
      </c>
      <c r="Z56" s="69">
        <f t="shared" si="30"/>
        <v>0</v>
      </c>
    </row>
    <row r="57" spans="1:26" s="14" customFormat="1" ht="21.75" customHeight="1" x14ac:dyDescent="0.25">
      <c r="A57" s="29">
        <v>34</v>
      </c>
      <c r="B57" s="30" t="s">
        <v>135</v>
      </c>
      <c r="C57" s="31" t="s">
        <v>41</v>
      </c>
      <c r="D57" s="43">
        <f>F57+G57</f>
        <v>5746000</v>
      </c>
      <c r="E57" s="33">
        <v>26</v>
      </c>
      <c r="F57" s="34">
        <v>4773600</v>
      </c>
      <c r="G57" s="34">
        <v>972400</v>
      </c>
      <c r="H57" s="35">
        <v>3757000</v>
      </c>
      <c r="I57" s="35">
        <v>730000</v>
      </c>
      <c r="J57" s="35"/>
      <c r="K57" s="36">
        <f>F57+G57+H57+I57</f>
        <v>10233000</v>
      </c>
      <c r="L57" s="37">
        <f>D57*8%</f>
        <v>459680</v>
      </c>
      <c r="M57" s="38">
        <f>D57*1.5%</f>
        <v>86190</v>
      </c>
      <c r="N57" s="39">
        <f>D57*1%</f>
        <v>57460</v>
      </c>
      <c r="O57" s="40">
        <f>L57+M57+N57</f>
        <v>603330</v>
      </c>
      <c r="P57" s="38">
        <f>D57*17.5%</f>
        <v>1005549.9999999999</v>
      </c>
      <c r="Q57" s="38">
        <f>D57*3%</f>
        <v>172380</v>
      </c>
      <c r="R57" s="38">
        <f>D57*1%</f>
        <v>57460</v>
      </c>
      <c r="S57" s="40">
        <f>P57+Q57+R57</f>
        <v>1235390</v>
      </c>
      <c r="T57" s="41">
        <f t="shared" si="28"/>
        <v>9629670</v>
      </c>
      <c r="U57" s="42"/>
      <c r="V57" s="68">
        <f>K57-I57</f>
        <v>9503000</v>
      </c>
      <c r="W57" s="69">
        <v>11000000</v>
      </c>
      <c r="X57" s="69"/>
      <c r="Y57" s="69">
        <f>MAX(V57-O57-W57-X57,0)</f>
        <v>0</v>
      </c>
      <c r="Z57" s="69">
        <f>ROUND(IF(Y57&gt;80000000,((Y57-80000000)*0.35+18150000),IF(AND(Y57&gt;52000000,Y57&lt;=80000000),((Y57-52000000)*0.3+9750000),IF(AND(Y57&gt;32000000,Y57&lt;=52000000),((Y57-32000000)*0.25+4750000),IF(AND(Y57&gt;18000000,Y57&lt;=32000000),((Y57-18000000)*0.2+1950000),IF(AND(Y57&gt;10000000,Y57&lt;=18000000),((Y57-10000000)*0.15+750000),IF(AND(Y57&gt;5000000,Y57&lt;=10000000),((Y57-5000000)*0.1+250000),(Y57*0.05))))))),0)</f>
        <v>0</v>
      </c>
    </row>
    <row r="58" spans="1:26" s="14" customFormat="1" ht="21.75" customHeight="1" x14ac:dyDescent="0.25">
      <c r="A58" s="62">
        <v>35</v>
      </c>
      <c r="B58" s="64" t="s">
        <v>154</v>
      </c>
      <c r="C58" s="31" t="s">
        <v>155</v>
      </c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>
        <f t="shared" ref="Z58" si="69">ROUND(IF(Y58&gt;80000000,((Y58-80000000)*0.35+18150000),IF(AND(Y58&gt;52000000,Y58&lt;=80000000),((Y58-52000000)*0.3+9750000),IF(AND(Y58&gt;32000000,Y58&lt;=52000000),((Y58-32000000)*0.25+4750000),IF(AND(Y58&gt;18000000,Y58&lt;=32000000),((Y58-18000000)*0.2+1950000),IF(AND(Y58&gt;10000000,Y58&lt;=18000000),((Y58-10000000)*0.15+750000),IF(AND(Y58&gt;5000000,Y58&lt;=10000000),((Y58-5000000)*0.1+250000),(Y58*0.05))))))),0)</f>
        <v>0</v>
      </c>
    </row>
    <row r="59" spans="1:26" s="14" customFormat="1" ht="19.5" customHeight="1" x14ac:dyDescent="0.25">
      <c r="A59" s="115" t="s">
        <v>43</v>
      </c>
      <c r="B59" s="116"/>
      <c r="C59" s="46"/>
      <c r="D59" s="47">
        <f>D11+D13+D17+D50</f>
        <v>213913400</v>
      </c>
      <c r="E59" s="47">
        <f t="shared" ref="E59:Z59" si="70">E11+E13+E17+E50</f>
        <v>832</v>
      </c>
      <c r="F59" s="47">
        <f t="shared" si="70"/>
        <v>176870200</v>
      </c>
      <c r="G59" s="47">
        <f t="shared" si="70"/>
        <v>37043200</v>
      </c>
      <c r="H59" s="47">
        <f t="shared" si="70"/>
        <v>130920400</v>
      </c>
      <c r="I59" s="47">
        <f t="shared" si="70"/>
        <v>22630000</v>
      </c>
      <c r="J59" s="47">
        <f>J11+J13+J17+J50</f>
        <v>96556055.316000015</v>
      </c>
      <c r="K59" s="47">
        <f t="shared" si="70"/>
        <v>450854655.31599998</v>
      </c>
      <c r="L59" s="47">
        <f t="shared" si="70"/>
        <v>17113072</v>
      </c>
      <c r="M59" s="47">
        <f t="shared" si="70"/>
        <v>3208701</v>
      </c>
      <c r="N59" s="47">
        <f t="shared" si="70"/>
        <v>2139134</v>
      </c>
      <c r="O59" s="47">
        <f t="shared" si="70"/>
        <v>22460907</v>
      </c>
      <c r="P59" s="47">
        <f t="shared" si="70"/>
        <v>37434845</v>
      </c>
      <c r="Q59" s="47">
        <f t="shared" si="70"/>
        <v>6417402</v>
      </c>
      <c r="R59" s="47">
        <f t="shared" si="70"/>
        <v>2139134</v>
      </c>
      <c r="S59" s="47">
        <f t="shared" si="70"/>
        <v>45991381</v>
      </c>
      <c r="T59" s="47">
        <f t="shared" si="70"/>
        <v>427195321.31599998</v>
      </c>
      <c r="U59" s="47">
        <f t="shared" si="70"/>
        <v>0</v>
      </c>
      <c r="V59" s="47">
        <f t="shared" si="70"/>
        <v>428224655.31599998</v>
      </c>
      <c r="W59" s="47">
        <f t="shared" si="70"/>
        <v>363000000</v>
      </c>
      <c r="X59" s="47">
        <f t="shared" si="70"/>
        <v>92400000</v>
      </c>
      <c r="Y59" s="47">
        <f t="shared" si="70"/>
        <v>49211577.135000005</v>
      </c>
      <c r="Z59" s="47">
        <f t="shared" si="70"/>
        <v>2580773</v>
      </c>
    </row>
    <row r="60" spans="1:26" s="17" customFormat="1" ht="19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L60" s="16"/>
      <c r="M60" s="16"/>
      <c r="N60" s="104" t="s">
        <v>145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17" t="s">
        <v>46</v>
      </c>
      <c r="O61" s="117"/>
      <c r="P61" s="117"/>
      <c r="Q61" s="117"/>
      <c r="R61" s="117"/>
      <c r="S61" s="117"/>
      <c r="T61" s="117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4" t="s">
        <v>47</v>
      </c>
      <c r="O62" s="104"/>
      <c r="P62" s="104"/>
      <c r="Q62" s="104"/>
      <c r="R62" s="104"/>
      <c r="S62" s="104"/>
      <c r="T62" s="104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6"/>
      <c r="M64" s="16"/>
      <c r="N64" s="16"/>
      <c r="O64" s="16"/>
      <c r="P64" s="16"/>
      <c r="Q64" s="16"/>
      <c r="R64" s="16"/>
      <c r="S64" s="16"/>
      <c r="T64" s="18"/>
      <c r="U64" s="16"/>
      <c r="W64" s="71"/>
      <c r="X64" s="71"/>
      <c r="Y64" s="71"/>
      <c r="Z64" s="71"/>
    </row>
    <row r="65" spans="1:26" ht="19.5" customHeight="1" x14ac:dyDescent="0.25">
      <c r="A65" s="16"/>
      <c r="B65" s="16"/>
      <c r="C65" s="16"/>
      <c r="D65" s="16"/>
      <c r="E65" s="16"/>
      <c r="F65" s="19"/>
      <c r="G65" s="16"/>
      <c r="H65" s="16"/>
      <c r="I65" s="16"/>
      <c r="J65" s="16"/>
      <c r="K65" s="18"/>
      <c r="L65" s="20"/>
      <c r="M65" s="21"/>
      <c r="O65" s="16"/>
      <c r="P65" s="16"/>
      <c r="Q65" s="16"/>
      <c r="R65" s="16"/>
      <c r="S65" s="16"/>
      <c r="T65" s="16"/>
      <c r="U65" s="12"/>
      <c r="W65" s="17"/>
      <c r="X65" s="17"/>
      <c r="Y65" s="17"/>
      <c r="Z65" s="17"/>
    </row>
    <row r="66" spans="1:26" ht="17.25" customHeight="1" x14ac:dyDescent="0.25">
      <c r="K66" s="22"/>
      <c r="L66" s="23"/>
      <c r="M66" s="24"/>
      <c r="W66" s="17"/>
      <c r="X66" s="17"/>
      <c r="Y66" s="17"/>
      <c r="Z66" s="17"/>
    </row>
    <row r="67" spans="1:26" x14ac:dyDescent="0.25">
      <c r="K67" s="22"/>
      <c r="W67" s="17"/>
      <c r="X67" s="17"/>
      <c r="Y67" s="17"/>
      <c r="Z67" s="17"/>
    </row>
    <row r="68" spans="1:26" x14ac:dyDescent="0.25">
      <c r="I68" s="25"/>
      <c r="J68" s="25"/>
      <c r="W68" s="17"/>
      <c r="X68" s="17"/>
      <c r="Y68" s="17"/>
      <c r="Z68" s="17"/>
    </row>
    <row r="69" spans="1:26" x14ac:dyDescent="0.25">
      <c r="D69" s="23"/>
      <c r="F69" s="22"/>
      <c r="G69" s="23"/>
      <c r="W69" s="17"/>
      <c r="X69" s="17"/>
      <c r="Y69" s="17"/>
      <c r="Z69" s="17"/>
    </row>
    <row r="70" spans="1:26" x14ac:dyDescent="0.25">
      <c r="F70" s="27"/>
    </row>
    <row r="72" spans="1:26" x14ac:dyDescent="0.25">
      <c r="N72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9:B59"/>
    <mergeCell ref="N60:T60"/>
    <mergeCell ref="N61:T61"/>
    <mergeCell ref="N62:T62"/>
    <mergeCell ref="W8:W9"/>
    <mergeCell ref="A13:C13"/>
    <mergeCell ref="A11:C11"/>
    <mergeCell ref="A17:C17"/>
    <mergeCell ref="A50:C50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opLeftCell="A31" workbookViewId="0">
      <selection activeCell="A48" sqref="A48:XFD4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158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6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16568922.08269795</v>
      </c>
      <c r="K13" s="51">
        <f t="shared" si="2"/>
        <v>59212522.08269795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55191867.08269795</v>
      </c>
      <c r="U13" s="51">
        <f t="shared" si="2"/>
        <v>0</v>
      </c>
      <c r="V13" s="51">
        <f t="shared" si="2"/>
        <v>57022522.08269795</v>
      </c>
      <c r="W13" s="51">
        <f t="shared" si="2"/>
        <v>33000000</v>
      </c>
      <c r="X13" s="51">
        <f t="shared" si="2"/>
        <v>4400000</v>
      </c>
      <c r="Y13" s="51">
        <f t="shared" si="2"/>
        <v>16572272.08269795</v>
      </c>
      <c r="Z13" s="51">
        <f t="shared" si="2"/>
        <v>970405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5224819.5956250001</v>
      </c>
      <c r="K15" s="36">
        <f>F15+G15+H15+I15+J15</f>
        <v>18157619.595624998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16962552.595624998</v>
      </c>
      <c r="U15" s="42"/>
      <c r="V15" s="68">
        <f>K15-I15</f>
        <v>17427619.595624998</v>
      </c>
      <c r="W15" s="69">
        <v>11000000</v>
      </c>
      <c r="X15" s="69"/>
      <c r="Y15" s="69">
        <f>MAX(V15-O15-W15-X15,0)</f>
        <v>5536169.5956249982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303617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11344102.48707295</v>
      </c>
      <c r="K16" s="36">
        <f t="shared" ref="K16" si="9">F16+G16+H16+I16+J16</f>
        <v>24321102.487072952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22949687.487072952</v>
      </c>
      <c r="U16" s="42"/>
      <c r="V16" s="68">
        <f t="shared" ref="V16" si="14">K16-I16</f>
        <v>23591102.487072952</v>
      </c>
      <c r="W16" s="69">
        <v>11000000</v>
      </c>
      <c r="X16" s="69">
        <f>4400000</f>
        <v>4400000</v>
      </c>
      <c r="Y16" s="69">
        <f t="shared" ref="Y16" si="15">MAX(V16-O16-W16-X16,0)</f>
        <v>7299652.4870729521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479965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SUM(D18:D49)</f>
        <v>148635600</v>
      </c>
      <c r="E17" s="51">
        <f t="shared" ref="E17:T17" si="17">SUM(E18:E49)</f>
        <v>624</v>
      </c>
      <c r="F17" s="51">
        <f t="shared" si="17"/>
        <v>124839600</v>
      </c>
      <c r="G17" s="51">
        <f t="shared" si="17"/>
        <v>23796000</v>
      </c>
      <c r="H17" s="51">
        <f t="shared" si="17"/>
        <v>104312000</v>
      </c>
      <c r="I17" s="51">
        <f t="shared" si="17"/>
        <v>17520000</v>
      </c>
      <c r="J17" s="51">
        <f t="shared" si="17"/>
        <v>104019729.76326959</v>
      </c>
      <c r="K17" s="51">
        <f t="shared" si="17"/>
        <v>386046329.76326948</v>
      </c>
      <c r="L17" s="51">
        <f t="shared" si="17"/>
        <v>12350528</v>
      </c>
      <c r="M17" s="51">
        <f t="shared" si="17"/>
        <v>2315724</v>
      </c>
      <c r="N17" s="51">
        <f t="shared" si="17"/>
        <v>1543816</v>
      </c>
      <c r="O17" s="51">
        <f t="shared" si="17"/>
        <v>16210068</v>
      </c>
      <c r="P17" s="51">
        <f t="shared" si="17"/>
        <v>27016780</v>
      </c>
      <c r="Q17" s="51">
        <f t="shared" si="17"/>
        <v>4631448</v>
      </c>
      <c r="R17" s="51">
        <f t="shared" si="17"/>
        <v>1543816</v>
      </c>
      <c r="S17" s="51">
        <f t="shared" si="17"/>
        <v>33192044</v>
      </c>
      <c r="T17" s="51">
        <f t="shared" si="17"/>
        <v>367715806.76326948</v>
      </c>
      <c r="U17" s="51">
        <f t="shared" ref="U17:Z17" si="18">SUM(U18:U46)</f>
        <v>0</v>
      </c>
      <c r="V17" s="51">
        <f t="shared" si="18"/>
        <v>323440002.14827842</v>
      </c>
      <c r="W17" s="51">
        <f t="shared" si="18"/>
        <v>264000000</v>
      </c>
      <c r="X17" s="51">
        <f t="shared" si="18"/>
        <v>88000000</v>
      </c>
      <c r="Y17" s="51">
        <f t="shared" si="18"/>
        <v>32734996.156020902</v>
      </c>
      <c r="Z17" s="51">
        <f t="shared" si="18"/>
        <v>1645924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/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/>
      <c r="E19" s="33"/>
      <c r="F19" s="34"/>
      <c r="G19" s="34"/>
      <c r="H19" s="35"/>
      <c r="I19" s="35"/>
      <c r="J19" s="35"/>
      <c r="K19" s="36">
        <f t="shared" ref="K19:K39" si="19">F19+G19+H19+I19+J19</f>
        <v>0</v>
      </c>
      <c r="L19" s="37">
        <f t="shared" ref="L19:L39" si="20">D19*8%</f>
        <v>0</v>
      </c>
      <c r="M19" s="38">
        <f t="shared" ref="M19:M39" si="21">D19*1.5%</f>
        <v>0</v>
      </c>
      <c r="N19" s="39">
        <f t="shared" ref="N19:N39" si="22">D19*1%</f>
        <v>0</v>
      </c>
      <c r="O19" s="40">
        <f t="shared" ref="O19:O34" si="23">L19+M19+N19</f>
        <v>0</v>
      </c>
      <c r="P19" s="38">
        <f t="shared" ref="P19:P34" si="24">D19*17.5%</f>
        <v>0</v>
      </c>
      <c r="Q19" s="38">
        <f t="shared" ref="Q19:Q39" si="25">D19*3%</f>
        <v>0</v>
      </c>
      <c r="R19" s="38">
        <f t="shared" ref="R19:R39" si="26">D19*1%</f>
        <v>0</v>
      </c>
      <c r="S19" s="40">
        <f t="shared" ref="S19:S39" si="27">P19+Q19+R19</f>
        <v>0</v>
      </c>
      <c r="T19" s="41">
        <f t="shared" ref="T19:T57" si="28">K19-O19-Z19</f>
        <v>0</v>
      </c>
      <c r="U19" s="42"/>
      <c r="V19" s="68">
        <f t="shared" si="1"/>
        <v>0</v>
      </c>
      <c r="W19" s="69">
        <v>11000000</v>
      </c>
      <c r="X19" s="69">
        <f>4400000</f>
        <v>4400000</v>
      </c>
      <c r="Y19" s="69">
        <f t="shared" ref="Y19:Y56" si="29">MAX(V19-O19-W19-X19,0)</f>
        <v>0</v>
      </c>
      <c r="Z19" s="69">
        <f t="shared" ref="Z19:Z56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/>
      <c r="E20" s="33"/>
      <c r="F20" s="34"/>
      <c r="G20" s="34"/>
      <c r="H20" s="35"/>
      <c r="I20" s="35"/>
      <c r="J20" s="35"/>
      <c r="K20" s="36">
        <f t="shared" si="19"/>
        <v>0</v>
      </c>
      <c r="L20" s="37">
        <f t="shared" si="20"/>
        <v>0</v>
      </c>
      <c r="M20" s="38">
        <f t="shared" si="21"/>
        <v>0</v>
      </c>
      <c r="N20" s="39">
        <f t="shared" si="22"/>
        <v>0</v>
      </c>
      <c r="O20" s="40">
        <f t="shared" si="23"/>
        <v>0</v>
      </c>
      <c r="P20" s="38">
        <f t="shared" si="24"/>
        <v>0</v>
      </c>
      <c r="Q20" s="38">
        <f t="shared" si="25"/>
        <v>0</v>
      </c>
      <c r="R20" s="38">
        <f t="shared" si="26"/>
        <v>0</v>
      </c>
      <c r="S20" s="40">
        <f t="shared" si="27"/>
        <v>0</v>
      </c>
      <c r="T20" s="41">
        <f t="shared" si="28"/>
        <v>0</v>
      </c>
      <c r="U20" s="42"/>
      <c r="V20" s="68">
        <f t="shared" si="1"/>
        <v>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2985611.1975000002</v>
      </c>
      <c r="K21" s="36">
        <f t="shared" si="19"/>
        <v>13698411.1975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13040061.1975</v>
      </c>
      <c r="U21" s="42"/>
      <c r="V21" s="68">
        <f t="shared" si="1"/>
        <v>12968411.1975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ref="D22:D39" si="31">F22+G22</f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2985611.1975000002</v>
      </c>
      <c r="K22" s="36">
        <f t="shared" si="19"/>
        <v>14544611.1975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13941281.1975</v>
      </c>
      <c r="U22" s="42"/>
      <c r="V22" s="68">
        <f t="shared" si="1"/>
        <v>13814611.1975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31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2985611.1975000002</v>
      </c>
      <c r="K23" s="36">
        <f t="shared" si="19"/>
        <v>14544611.1975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13830717.1975</v>
      </c>
      <c r="U23" s="42"/>
      <c r="V23" s="68">
        <f t="shared" si="1"/>
        <v>13814611.1975</v>
      </c>
      <c r="W23" s="69">
        <v>11000000</v>
      </c>
      <c r="X23" s="69"/>
      <c r="Y23" s="69">
        <f t="shared" si="29"/>
        <v>2211281.1974999998</v>
      </c>
      <c r="Z23" s="69">
        <f t="shared" si="30"/>
        <v>110564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31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3732013.9968750002</v>
      </c>
      <c r="K24" s="36">
        <f t="shared" si="19"/>
        <v>15291013.996874999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14539799.996874999</v>
      </c>
      <c r="U24" s="42"/>
      <c r="V24" s="68">
        <f t="shared" si="1"/>
        <v>14561013.996874999</v>
      </c>
      <c r="W24" s="69">
        <v>11000000</v>
      </c>
      <c r="X24" s="69"/>
      <c r="Y24" s="69">
        <f t="shared" si="29"/>
        <v>2957683.9968749993</v>
      </c>
      <c r="Z24" s="69">
        <f t="shared" si="30"/>
        <v>147884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31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4861758.2087455504</v>
      </c>
      <c r="K25" s="36">
        <f t="shared" si="19"/>
        <v>15580958.20874555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14921936.20874555</v>
      </c>
      <c r="U25" s="42"/>
      <c r="V25" s="68">
        <f t="shared" si="1"/>
        <v>14850958.20874555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31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3732013.9968750002</v>
      </c>
      <c r="K26" s="36">
        <f t="shared" si="19"/>
        <v>15291013.996874999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14539799.996874999</v>
      </c>
      <c r="U26" s="42"/>
      <c r="V26" s="68">
        <f t="shared" si="1"/>
        <v>14561013.996874999</v>
      </c>
      <c r="W26" s="69">
        <v>11000000</v>
      </c>
      <c r="X26" s="69"/>
      <c r="Y26" s="69">
        <f t="shared" si="29"/>
        <v>2957683.9968749993</v>
      </c>
      <c r="Z26" s="69">
        <f t="shared" si="30"/>
        <v>147884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31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4861758.2087455504</v>
      </c>
      <c r="K27" s="36">
        <f t="shared" si="19"/>
        <v>16420758.20874555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15613057.20874555</v>
      </c>
      <c r="U27" s="42"/>
      <c r="V27" s="68">
        <f t="shared" si="1"/>
        <v>15690758.20874555</v>
      </c>
      <c r="W27" s="69">
        <v>11000000</v>
      </c>
      <c r="X27" s="69"/>
      <c r="Y27" s="69">
        <f t="shared" si="29"/>
        <v>4087428.2087455504</v>
      </c>
      <c r="Z27" s="69">
        <f t="shared" si="30"/>
        <v>204371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31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6482344.2783274008</v>
      </c>
      <c r="K28" s="36">
        <f t="shared" si="19"/>
        <v>18041344.278327402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17438014.278327402</v>
      </c>
      <c r="U28" s="42"/>
      <c r="V28" s="68">
        <f t="shared" si="1"/>
        <v>17311344.278327402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31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6482344.2783274008</v>
      </c>
      <c r="K29" s="36">
        <f t="shared" si="19"/>
        <v>17201544.278327402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16542522.278327402</v>
      </c>
      <c r="U29" s="42"/>
      <c r="V29" s="68">
        <f t="shared" si="1"/>
        <v>16471544.278327402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31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4861758.2087455504</v>
      </c>
      <c r="K30" s="36">
        <f t="shared" si="19"/>
        <v>15580958.20874555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14921936.20874555</v>
      </c>
      <c r="U30" s="42"/>
      <c r="V30" s="68">
        <f t="shared" si="1"/>
        <v>14850958.20874555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31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4861758.2087455504</v>
      </c>
      <c r="K31" s="36">
        <f t="shared" si="19"/>
        <v>16420758.20874555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15817428.20874555</v>
      </c>
      <c r="U31" s="42"/>
      <c r="V31" s="68">
        <f t="shared" si="1"/>
        <v>15690758.20874555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J33" s="35">
        <v>0</v>
      </c>
      <c r="K33" s="36">
        <f>F49+G49+H49+I49+J33</f>
        <v>11559000</v>
      </c>
      <c r="L33" s="37">
        <f>D49*8%</f>
        <v>459680</v>
      </c>
      <c r="M33" s="38">
        <f>D49*1.5%</f>
        <v>86190</v>
      </c>
      <c r="N33" s="39">
        <f>D49*1%</f>
        <v>57460</v>
      </c>
      <c r="O33" s="40">
        <f t="shared" si="23"/>
        <v>603330</v>
      </c>
      <c r="P33" s="38">
        <f>D49*17.5%</f>
        <v>1005549.9999999999</v>
      </c>
      <c r="Q33" s="38">
        <f>D49*3%</f>
        <v>172380</v>
      </c>
      <c r="R33" s="38">
        <f>D49*1%</f>
        <v>57460</v>
      </c>
      <c r="S33" s="40">
        <f t="shared" si="27"/>
        <v>1235390</v>
      </c>
      <c r="T33" s="41">
        <f t="shared" si="28"/>
        <v>10955670</v>
      </c>
      <c r="U33" s="42"/>
      <c r="V33" s="68">
        <f>K33-I49</f>
        <v>10829000</v>
      </c>
      <c r="W33" s="69">
        <v>11000000</v>
      </c>
      <c r="X33" s="69"/>
      <c r="Y33" s="69">
        <f t="shared" si="29"/>
        <v>0</v>
      </c>
      <c r="Z33" s="69">
        <f t="shared" si="30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31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9723516.4174911007</v>
      </c>
      <c r="K34" s="36">
        <f t="shared" si="19"/>
        <v>22234116.417491101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21400920.417491101</v>
      </c>
      <c r="U34" s="42"/>
      <c r="V34" s="68">
        <f t="shared" si="1"/>
        <v>21504116.417491101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31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3732013.9968750002</v>
      </c>
      <c r="K35" s="36">
        <f t="shared" si="19"/>
        <v>14763213.996874999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13954359.996874999</v>
      </c>
      <c r="U35" s="42"/>
      <c r="V35" s="68">
        <f t="shared" si="1"/>
        <v>14033213.996874999</v>
      </c>
      <c r="W35" s="69">
        <v>11000000</v>
      </c>
      <c r="X35" s="69"/>
      <c r="Y35" s="69">
        <f t="shared" si="29"/>
        <v>2341431.9968749993</v>
      </c>
      <c r="Z35" s="69">
        <f t="shared" si="30"/>
        <v>117072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31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3732013.9968750002</v>
      </c>
      <c r="K36" s="36">
        <f t="shared" si="19"/>
        <v>14763213.996874999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14071431.996874999</v>
      </c>
      <c r="U36" s="42"/>
      <c r="V36" s="68">
        <f t="shared" si="1"/>
        <v>14033213.996874999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31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2985611.1975000002</v>
      </c>
      <c r="K38" s="36">
        <f t="shared" si="19"/>
        <v>14016811.1975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13245278.1975</v>
      </c>
      <c r="U38" s="42"/>
      <c r="V38" s="68">
        <f t="shared" si="1"/>
        <v>13286811.1975</v>
      </c>
      <c r="W38" s="69">
        <v>11000000</v>
      </c>
      <c r="X38" s="69"/>
      <c r="Y38" s="69">
        <f t="shared" si="29"/>
        <v>1595029.1974999998</v>
      </c>
      <c r="Z38" s="69">
        <f t="shared" si="30"/>
        <v>79751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31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2985611.1975000002</v>
      </c>
      <c r="K39" s="36">
        <f t="shared" si="19"/>
        <v>14016811.1975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13245278.1975</v>
      </c>
      <c r="U39" s="42"/>
      <c r="V39" s="68">
        <f t="shared" si="1"/>
        <v>13286811.1975</v>
      </c>
      <c r="W39" s="69">
        <v>11000000</v>
      </c>
      <c r="X39" s="69"/>
      <c r="Y39" s="69">
        <f t="shared" si="29"/>
        <v>1595029.1974999998</v>
      </c>
      <c r="Z39" s="69">
        <f t="shared" si="30"/>
        <v>79751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2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4861758.2087455504</v>
      </c>
      <c r="K42" s="36">
        <f t="shared" ref="K42:K49" si="33">F42+G42+H42+I42+J42</f>
        <v>16420758.20874555</v>
      </c>
      <c r="L42" s="37">
        <f t="shared" ref="L42:L47" si="34">D42*8%</f>
        <v>459680</v>
      </c>
      <c r="M42" s="38">
        <f t="shared" ref="M42:M47" si="35">D42*1.5%</f>
        <v>86190</v>
      </c>
      <c r="N42" s="39">
        <f t="shared" ref="N42:N47" si="36">D42*1%</f>
        <v>57460</v>
      </c>
      <c r="O42" s="40">
        <f t="shared" ref="O42" si="37">L42+M42+N42</f>
        <v>603330</v>
      </c>
      <c r="P42" s="38">
        <f t="shared" ref="P42" si="38">D42*17.5%</f>
        <v>1005549.9999999999</v>
      </c>
      <c r="Q42" s="38">
        <f t="shared" ref="Q42:Q47" si="39">D42*3%</f>
        <v>172380</v>
      </c>
      <c r="R42" s="38">
        <f t="shared" ref="R42:R47" si="40">D42*1%</f>
        <v>57460</v>
      </c>
      <c r="S42" s="40">
        <f t="shared" ref="S42:S47" si="41">P42+Q42+R42</f>
        <v>1235390</v>
      </c>
      <c r="T42" s="41">
        <f t="shared" ref="T42:T47" si="42">K42-O42-Z42</f>
        <v>15613057.20874555</v>
      </c>
      <c r="U42" s="42"/>
      <c r="V42" s="68">
        <f t="shared" ref="V42:V49" si="43">K42-I42</f>
        <v>15690758.20874555</v>
      </c>
      <c r="W42" s="69">
        <v>11000000</v>
      </c>
      <c r="X42" s="69"/>
      <c r="Y42" s="69">
        <f t="shared" ref="Y42:Y47" si="44">MAX(V42-O42-W42-X42,0)</f>
        <v>4087428.2087455504</v>
      </c>
      <c r="Z42" s="69">
        <f t="shared" ref="Z42:Z47" si="45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204371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2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0</v>
      </c>
      <c r="K43" s="36">
        <f t="shared" si="33"/>
        <v>11031200</v>
      </c>
      <c r="L43" s="37">
        <f t="shared" si="34"/>
        <v>527072</v>
      </c>
      <c r="M43" s="38">
        <f t="shared" si="35"/>
        <v>98826</v>
      </c>
      <c r="N43" s="39">
        <f t="shared" si="36"/>
        <v>65884</v>
      </c>
      <c r="O43" s="40">
        <f>L43+M43+N43</f>
        <v>691782</v>
      </c>
      <c r="P43" s="38">
        <f>D43*17.5%</f>
        <v>1152970</v>
      </c>
      <c r="Q43" s="38">
        <f t="shared" si="39"/>
        <v>197652</v>
      </c>
      <c r="R43" s="38">
        <f t="shared" si="40"/>
        <v>65884</v>
      </c>
      <c r="S43" s="40">
        <f t="shared" si="41"/>
        <v>1416506</v>
      </c>
      <c r="T43" s="41">
        <f t="shared" si="42"/>
        <v>10339418</v>
      </c>
      <c r="U43" s="42"/>
      <c r="V43" s="68">
        <f t="shared" si="43"/>
        <v>10301200</v>
      </c>
      <c r="W43" s="69">
        <v>11000000</v>
      </c>
      <c r="X43" s="69"/>
      <c r="Y43" s="69">
        <f t="shared" si="44"/>
        <v>0</v>
      </c>
      <c r="Z43" s="69">
        <f t="shared" si="45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2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6482344.2783274008</v>
      </c>
      <c r="K44" s="36">
        <f t="shared" si="33"/>
        <v>17513544.278327402</v>
      </c>
      <c r="L44" s="37">
        <f t="shared" si="34"/>
        <v>527072</v>
      </c>
      <c r="M44" s="38">
        <f t="shared" si="35"/>
        <v>98826</v>
      </c>
      <c r="N44" s="39">
        <f t="shared" si="36"/>
        <v>65884</v>
      </c>
      <c r="O44" s="40">
        <f>L44+M44+N44</f>
        <v>691782</v>
      </c>
      <c r="P44" s="38">
        <f>D44*17.5%</f>
        <v>1152970</v>
      </c>
      <c r="Q44" s="38">
        <f t="shared" si="39"/>
        <v>197652</v>
      </c>
      <c r="R44" s="38">
        <f t="shared" si="40"/>
        <v>65884</v>
      </c>
      <c r="S44" s="40">
        <f t="shared" si="41"/>
        <v>1416506</v>
      </c>
      <c r="T44" s="41">
        <f t="shared" si="42"/>
        <v>16562586.278327402</v>
      </c>
      <c r="U44" s="42"/>
      <c r="V44" s="68">
        <f t="shared" si="43"/>
        <v>16783544.278327402</v>
      </c>
      <c r="W44" s="69">
        <v>11000000</v>
      </c>
      <c r="X44" s="69"/>
      <c r="Y44" s="69">
        <f t="shared" si="44"/>
        <v>5091762.2783274017</v>
      </c>
      <c r="Z44" s="69">
        <f t="shared" si="45"/>
        <v>259176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2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6482344.2783274008</v>
      </c>
      <c r="K45" s="36">
        <f t="shared" si="33"/>
        <v>17513544.278327402</v>
      </c>
      <c r="L45" s="37">
        <f t="shared" si="34"/>
        <v>527072</v>
      </c>
      <c r="M45" s="38">
        <f t="shared" si="35"/>
        <v>98826</v>
      </c>
      <c r="N45" s="39">
        <f t="shared" si="36"/>
        <v>65884</v>
      </c>
      <c r="O45" s="40">
        <f>L45+M45+N45</f>
        <v>691782</v>
      </c>
      <c r="P45" s="38">
        <f>D45*17.5%</f>
        <v>1152970</v>
      </c>
      <c r="Q45" s="38">
        <f t="shared" si="39"/>
        <v>197652</v>
      </c>
      <c r="R45" s="38">
        <f t="shared" si="40"/>
        <v>65884</v>
      </c>
      <c r="S45" s="40">
        <f t="shared" si="41"/>
        <v>1416506</v>
      </c>
      <c r="T45" s="41">
        <f t="shared" si="42"/>
        <v>16562586.278327402</v>
      </c>
      <c r="U45" s="42"/>
      <c r="V45" s="68">
        <f t="shared" si="43"/>
        <v>16783544.278327402</v>
      </c>
      <c r="W45" s="69">
        <v>11000000</v>
      </c>
      <c r="X45" s="69"/>
      <c r="Y45" s="69">
        <f t="shared" si="44"/>
        <v>5091762.2783274017</v>
      </c>
      <c r="Z45" s="69">
        <f t="shared" si="45"/>
        <v>259176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2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1492805.5987500001</v>
      </c>
      <c r="K46" s="36">
        <f t="shared" si="33"/>
        <v>13051805.598750001</v>
      </c>
      <c r="L46" s="37">
        <f t="shared" si="34"/>
        <v>459680</v>
      </c>
      <c r="M46" s="38">
        <f t="shared" si="35"/>
        <v>86190</v>
      </c>
      <c r="N46" s="39">
        <f t="shared" si="36"/>
        <v>57460</v>
      </c>
      <c r="O46" s="40">
        <f t="shared" ref="O46:O47" si="46">L46+M46+N46</f>
        <v>603330</v>
      </c>
      <c r="P46" s="38">
        <f t="shared" ref="P46:P47" si="47">D46*17.5%</f>
        <v>1005549.9999999999</v>
      </c>
      <c r="Q46" s="38">
        <f t="shared" si="39"/>
        <v>172380</v>
      </c>
      <c r="R46" s="38">
        <f t="shared" si="40"/>
        <v>57460</v>
      </c>
      <c r="S46" s="40">
        <f t="shared" si="41"/>
        <v>1235390</v>
      </c>
      <c r="T46" s="41">
        <f t="shared" si="42"/>
        <v>12412551.598750001</v>
      </c>
      <c r="U46" s="42"/>
      <c r="V46" s="68">
        <f t="shared" si="43"/>
        <v>12321805.598750001</v>
      </c>
      <c r="W46" s="69">
        <v>11000000</v>
      </c>
      <c r="X46" s="69"/>
      <c r="Y46" s="69">
        <f t="shared" si="44"/>
        <v>718475.59875000082</v>
      </c>
      <c r="Z46" s="69">
        <f t="shared" si="45"/>
        <v>35924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2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>
        <v>2985611.1975000002</v>
      </c>
      <c r="K47" s="36">
        <f t="shared" si="33"/>
        <v>13704811.1975</v>
      </c>
      <c r="L47" s="37">
        <f t="shared" si="34"/>
        <v>502112</v>
      </c>
      <c r="M47" s="38">
        <f t="shared" si="35"/>
        <v>94146</v>
      </c>
      <c r="N47" s="39">
        <f t="shared" si="36"/>
        <v>62764</v>
      </c>
      <c r="O47" s="40">
        <f t="shared" si="46"/>
        <v>659022</v>
      </c>
      <c r="P47" s="38">
        <f t="shared" si="47"/>
        <v>1098370</v>
      </c>
      <c r="Q47" s="38">
        <f t="shared" si="39"/>
        <v>188292</v>
      </c>
      <c r="R47" s="38">
        <f t="shared" si="40"/>
        <v>62764</v>
      </c>
      <c r="S47" s="40">
        <f t="shared" si="41"/>
        <v>1349426</v>
      </c>
      <c r="T47" s="41">
        <f t="shared" si="42"/>
        <v>12980000.1975</v>
      </c>
      <c r="U47" s="42"/>
      <c r="V47" s="68">
        <f t="shared" si="43"/>
        <v>12974811.1975</v>
      </c>
      <c r="W47" s="69">
        <v>11000000</v>
      </c>
      <c r="X47" s="69"/>
      <c r="Y47" s="69">
        <f t="shared" si="44"/>
        <v>1315789.1974999998</v>
      </c>
      <c r="Z47" s="69">
        <f t="shared" si="45"/>
        <v>65789</v>
      </c>
    </row>
    <row r="48" spans="1:26" s="53" customFormat="1" ht="21.75" customHeight="1" x14ac:dyDescent="0.25">
      <c r="A48" s="29">
        <v>31</v>
      </c>
      <c r="B48" s="30" t="s">
        <v>91</v>
      </c>
      <c r="C48" s="31" t="s">
        <v>30</v>
      </c>
      <c r="D48" s="32">
        <f t="shared" ref="D48" si="48">F48+G48</f>
        <v>5746000</v>
      </c>
      <c r="E48" s="33">
        <v>26</v>
      </c>
      <c r="F48" s="34">
        <v>4773600</v>
      </c>
      <c r="G48" s="34">
        <v>972400</v>
      </c>
      <c r="H48" s="35">
        <v>5083000</v>
      </c>
      <c r="I48" s="35">
        <v>730000</v>
      </c>
      <c r="J48" s="35">
        <v>4861758.2087455504</v>
      </c>
      <c r="K48" s="36">
        <f t="shared" si="33"/>
        <v>16420758.20874555</v>
      </c>
      <c r="L48" s="37">
        <f t="shared" ref="L48:L49" si="49">D48*8%</f>
        <v>459680</v>
      </c>
      <c r="M48" s="38">
        <f t="shared" ref="M48:M49" si="50">D48*1.5%</f>
        <v>86190</v>
      </c>
      <c r="N48" s="39">
        <f t="shared" ref="N48:N49" si="51">D48*1%</f>
        <v>57460</v>
      </c>
      <c r="O48" s="40">
        <f t="shared" ref="O48:O49" si="52">L48+M48+N48</f>
        <v>603330</v>
      </c>
      <c r="P48" s="38">
        <f t="shared" ref="P48:P49" si="53">D48*17.5%</f>
        <v>1005549.9999999999</v>
      </c>
      <c r="Q48" s="38">
        <f t="shared" ref="Q48:Q49" si="54">D48*3%</f>
        <v>172380</v>
      </c>
      <c r="R48" s="38">
        <f t="shared" ref="R48:R49" si="55">D48*1%</f>
        <v>57460</v>
      </c>
      <c r="S48" s="40">
        <f t="shared" ref="S48:S49" si="56">P48+Q48+R48</f>
        <v>1235390</v>
      </c>
      <c r="T48" s="41">
        <f t="shared" ref="T48:T49" si="57">K48-O48-Z48</f>
        <v>15613057.20874555</v>
      </c>
      <c r="U48" s="42"/>
      <c r="V48" s="68">
        <f t="shared" si="43"/>
        <v>15690758.20874555</v>
      </c>
      <c r="W48" s="69">
        <v>11000000</v>
      </c>
      <c r="X48" s="69"/>
      <c r="Y48" s="69">
        <f t="shared" ref="Y48:Y49" si="58">MAX(V48-O48-W48-X48,0)</f>
        <v>4087428.2087455504</v>
      </c>
      <c r="Z48" s="69">
        <f t="shared" ref="Z48:Z49" si="59">ROUND(IF(Y48&gt;80000000,((Y48-80000000)*0.35+18150000),IF(AND(Y48&gt;52000000,Y48&lt;=80000000),((Y48-52000000)*0.3+9750000),IF(AND(Y48&gt;32000000,Y48&lt;=52000000),((Y48-32000000)*0.25+4750000),IF(AND(Y48&gt;18000000,Y48&lt;=32000000),((Y48-18000000)*0.2+1950000),IF(AND(Y48&gt;10000000,Y48&lt;=18000000),((Y48-10000000)*0.15+750000),IF(AND(Y48&gt;5000000,Y48&lt;=10000000),((Y48-5000000)*0.1+250000),(Y48*0.05))))))),0)</f>
        <v>204371</v>
      </c>
    </row>
    <row r="49" spans="1:26" s="53" customFormat="1" ht="21.75" customHeight="1" x14ac:dyDescent="0.25">
      <c r="A49" s="29">
        <v>32</v>
      </c>
      <c r="B49" s="30" t="s">
        <v>157</v>
      </c>
      <c r="C49" s="31" t="s">
        <v>30</v>
      </c>
      <c r="D49" s="32">
        <f>F49+G49</f>
        <v>5746000</v>
      </c>
      <c r="E49" s="33">
        <v>26</v>
      </c>
      <c r="F49" s="34">
        <v>4773600</v>
      </c>
      <c r="G49" s="34">
        <v>972400</v>
      </c>
      <c r="H49" s="35">
        <v>5083000</v>
      </c>
      <c r="I49" s="35">
        <v>730000</v>
      </c>
      <c r="J49" s="35">
        <v>4861758.2087455504</v>
      </c>
      <c r="K49" s="36">
        <f t="shared" si="33"/>
        <v>16420758.20874555</v>
      </c>
      <c r="L49" s="37">
        <f t="shared" si="49"/>
        <v>459680</v>
      </c>
      <c r="M49" s="38">
        <f t="shared" si="50"/>
        <v>86190</v>
      </c>
      <c r="N49" s="39">
        <f t="shared" si="51"/>
        <v>57460</v>
      </c>
      <c r="O49" s="40">
        <f t="shared" si="52"/>
        <v>603330</v>
      </c>
      <c r="P49" s="38">
        <f t="shared" si="53"/>
        <v>1005549.9999999999</v>
      </c>
      <c r="Q49" s="38">
        <f t="shared" si="54"/>
        <v>172380</v>
      </c>
      <c r="R49" s="38">
        <f t="shared" si="55"/>
        <v>57460</v>
      </c>
      <c r="S49" s="40">
        <f t="shared" si="56"/>
        <v>1235390</v>
      </c>
      <c r="T49" s="41">
        <f t="shared" si="57"/>
        <v>15613057.20874555</v>
      </c>
      <c r="U49" s="42"/>
      <c r="V49" s="68">
        <f t="shared" si="43"/>
        <v>15690758.20874555</v>
      </c>
      <c r="W49" s="69">
        <v>11000000</v>
      </c>
      <c r="X49" s="69"/>
      <c r="Y49" s="69">
        <f t="shared" si="58"/>
        <v>4087428.2087455504</v>
      </c>
      <c r="Z49" s="69">
        <f t="shared" si="59"/>
        <v>204371</v>
      </c>
    </row>
    <row r="50" spans="1:26" s="26" customFormat="1" ht="21.75" customHeight="1" x14ac:dyDescent="0.25">
      <c r="A50" s="112" t="s">
        <v>38</v>
      </c>
      <c r="B50" s="113"/>
      <c r="C50" s="114"/>
      <c r="D50" s="51">
        <f>SUM(D51:D58)</f>
        <v>30183000</v>
      </c>
      <c r="E50" s="51">
        <f t="shared" ref="E50:Z50" si="60">SUM(E51:E58)</f>
        <v>130</v>
      </c>
      <c r="F50" s="51">
        <f t="shared" si="60"/>
        <v>24476200</v>
      </c>
      <c r="G50" s="51">
        <f t="shared" si="60"/>
        <v>5706800</v>
      </c>
      <c r="H50" s="51">
        <f t="shared" si="60"/>
        <v>18917600</v>
      </c>
      <c r="I50" s="51">
        <f t="shared" si="60"/>
        <v>3650000</v>
      </c>
      <c r="J50" s="51">
        <f t="shared" si="60"/>
        <v>0</v>
      </c>
      <c r="K50" s="51">
        <f t="shared" si="60"/>
        <v>52750600</v>
      </c>
      <c r="L50" s="51">
        <f t="shared" si="60"/>
        <v>2414640</v>
      </c>
      <c r="M50" s="51">
        <f t="shared" si="60"/>
        <v>452745</v>
      </c>
      <c r="N50" s="51">
        <f t="shared" si="60"/>
        <v>301830</v>
      </c>
      <c r="O50" s="51">
        <f t="shared" si="60"/>
        <v>3169215</v>
      </c>
      <c r="P50" s="51">
        <f t="shared" si="60"/>
        <v>5282025</v>
      </c>
      <c r="Q50" s="51">
        <f t="shared" si="60"/>
        <v>905490</v>
      </c>
      <c r="R50" s="51">
        <f t="shared" si="60"/>
        <v>301830</v>
      </c>
      <c r="S50" s="51">
        <f t="shared" si="60"/>
        <v>6489345</v>
      </c>
      <c r="T50" s="51">
        <f t="shared" si="60"/>
        <v>49581385</v>
      </c>
      <c r="U50" s="51">
        <f t="shared" si="60"/>
        <v>0</v>
      </c>
      <c r="V50" s="51">
        <f t="shared" si="60"/>
        <v>49100600</v>
      </c>
      <c r="W50" s="51">
        <f t="shared" si="60"/>
        <v>55000000</v>
      </c>
      <c r="X50" s="51">
        <f t="shared" si="60"/>
        <v>4400000</v>
      </c>
      <c r="Y50" s="51">
        <f t="shared" si="60"/>
        <v>0</v>
      </c>
      <c r="Z50" s="51">
        <f t="shared" si="60"/>
        <v>0</v>
      </c>
    </row>
    <row r="51" spans="1:26" s="26" customFormat="1" ht="21.75" customHeight="1" x14ac:dyDescent="0.25">
      <c r="A51" s="29">
        <v>30</v>
      </c>
      <c r="B51" s="30" t="s">
        <v>42</v>
      </c>
      <c r="C51" s="31" t="s">
        <v>41</v>
      </c>
      <c r="D51" s="43">
        <f t="shared" ref="D51:D56" si="61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F51+G51+H51+I51+J51</f>
        <v>10032400</v>
      </c>
      <c r="L51" s="37">
        <f t="shared" ref="L51:L56" si="62">D51*8%</f>
        <v>443632</v>
      </c>
      <c r="M51" s="38">
        <f t="shared" ref="M51:M56" si="63">D51*1.5%</f>
        <v>83181</v>
      </c>
      <c r="N51" s="39">
        <f t="shared" ref="N51:N56" si="64">D51*1%</f>
        <v>55454</v>
      </c>
      <c r="O51" s="40">
        <f t="shared" ref="O51:O56" si="65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6" si="66">P51+Q51+R51</f>
        <v>1192261</v>
      </c>
      <c r="T51" s="41">
        <f t="shared" si="28"/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si="29"/>
        <v>0</v>
      </c>
      <c r="Z51" s="69">
        <f t="shared" si="30"/>
        <v>0</v>
      </c>
    </row>
    <row r="52" spans="1:26" s="26" customFormat="1" ht="21.75" customHeight="1" x14ac:dyDescent="0.25">
      <c r="A52" s="29"/>
      <c r="B52" s="30" t="s">
        <v>79</v>
      </c>
      <c r="C52" s="31" t="s">
        <v>29</v>
      </c>
      <c r="D52" s="43"/>
      <c r="E52" s="33"/>
      <c r="F52" s="34"/>
      <c r="G52" s="34"/>
      <c r="H52" s="35"/>
      <c r="I52" s="35"/>
      <c r="J52" s="35"/>
      <c r="K52" s="36"/>
      <c r="L52" s="37"/>
      <c r="M52" s="38"/>
      <c r="N52" s="39"/>
      <c r="O52" s="40"/>
      <c r="P52" s="38"/>
      <c r="Q52" s="38"/>
      <c r="R52" s="38"/>
      <c r="S52" s="40"/>
      <c r="T52" s="41"/>
      <c r="U52" s="42"/>
      <c r="V52" s="68"/>
      <c r="W52" s="69"/>
      <c r="X52" s="69"/>
      <c r="Y52" s="69"/>
      <c r="Z52" s="69"/>
    </row>
    <row r="53" spans="1:26" s="14" customFormat="1" ht="21.75" customHeight="1" x14ac:dyDescent="0.25">
      <c r="A53" s="29"/>
      <c r="B53" s="30" t="s">
        <v>81</v>
      </c>
      <c r="C53" s="31" t="s">
        <v>41</v>
      </c>
      <c r="D53" s="43"/>
      <c r="E53" s="33"/>
      <c r="F53" s="34"/>
      <c r="G53" s="34"/>
      <c r="H53" s="35"/>
      <c r="I53" s="35"/>
      <c r="J53" s="35"/>
      <c r="K53" s="36"/>
      <c r="L53" s="37"/>
      <c r="M53" s="38"/>
      <c r="N53" s="39"/>
      <c r="O53" s="40"/>
      <c r="P53" s="38"/>
      <c r="Q53" s="38"/>
      <c r="R53" s="38"/>
      <c r="S53" s="40"/>
      <c r="T53" s="41"/>
      <c r="U53" s="42"/>
      <c r="V53" s="68"/>
      <c r="W53" s="69"/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31</v>
      </c>
      <c r="B54" s="30" t="s">
        <v>105</v>
      </c>
      <c r="C54" s="31" t="s">
        <v>40</v>
      </c>
      <c r="D54" s="43">
        <f t="shared" si="61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ref="K54:K56" si="67">F54+G54+H54+I54+J54</f>
        <v>10828400</v>
      </c>
      <c r="L54" s="37">
        <f t="shared" si="62"/>
        <v>503776</v>
      </c>
      <c r="M54" s="38">
        <f t="shared" si="63"/>
        <v>94458</v>
      </c>
      <c r="N54" s="39">
        <f t="shared" si="64"/>
        <v>62972</v>
      </c>
      <c r="O54" s="40">
        <f t="shared" si="65"/>
        <v>661206</v>
      </c>
      <c r="P54" s="38">
        <f t="shared" ref="P54" si="68">D54*17.5%</f>
        <v>1102010</v>
      </c>
      <c r="Q54" s="38">
        <f t="shared" ref="Q54:Q56" si="69">D54*3%</f>
        <v>188916</v>
      </c>
      <c r="R54" s="38">
        <f t="shared" ref="R54:R56" si="70">D54*1%</f>
        <v>62972</v>
      </c>
      <c r="S54" s="40">
        <f t="shared" si="66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>
        <v>4400000</v>
      </c>
      <c r="Y54" s="69">
        <f t="shared" si="29"/>
        <v>0</v>
      </c>
      <c r="Z54" s="69">
        <f t="shared" si="30"/>
        <v>0</v>
      </c>
    </row>
    <row r="55" spans="1:26" s="14" customFormat="1" ht="17.25" customHeight="1" x14ac:dyDescent="0.25">
      <c r="A55" s="29">
        <v>32</v>
      </c>
      <c r="B55" s="64" t="s">
        <v>117</v>
      </c>
      <c r="C55" s="31" t="s">
        <v>40</v>
      </c>
      <c r="D55" s="43">
        <f t="shared" si="61"/>
        <v>6297200</v>
      </c>
      <c r="E55" s="33">
        <v>26</v>
      </c>
      <c r="F55" s="34">
        <v>5148000</v>
      </c>
      <c r="G55" s="34">
        <v>1149200</v>
      </c>
      <c r="H55" s="35">
        <v>3801200</v>
      </c>
      <c r="I55" s="35">
        <v>730000</v>
      </c>
      <c r="J55" s="35"/>
      <c r="K55" s="36">
        <f t="shared" si="67"/>
        <v>10828400</v>
      </c>
      <c r="L55" s="37">
        <f t="shared" si="62"/>
        <v>503776</v>
      </c>
      <c r="M55" s="38">
        <f t="shared" si="63"/>
        <v>94458</v>
      </c>
      <c r="N55" s="39">
        <f t="shared" si="64"/>
        <v>62972</v>
      </c>
      <c r="O55" s="40">
        <f t="shared" si="65"/>
        <v>661206</v>
      </c>
      <c r="P55" s="38">
        <f>D55*17.5%</f>
        <v>1102010</v>
      </c>
      <c r="Q55" s="38">
        <f t="shared" si="69"/>
        <v>188916</v>
      </c>
      <c r="R55" s="38">
        <f t="shared" si="70"/>
        <v>62972</v>
      </c>
      <c r="S55" s="40">
        <f t="shared" si="66"/>
        <v>1353898</v>
      </c>
      <c r="T55" s="41">
        <f t="shared" si="28"/>
        <v>10167194</v>
      </c>
      <c r="U55" s="42"/>
      <c r="V55" s="68">
        <f t="shared" si="1"/>
        <v>10098400</v>
      </c>
      <c r="W55" s="69">
        <v>11000000</v>
      </c>
      <c r="X55" s="69"/>
      <c r="Y55" s="69">
        <f t="shared" si="29"/>
        <v>0</v>
      </c>
      <c r="Z55" s="69">
        <f t="shared" si="30"/>
        <v>0</v>
      </c>
    </row>
    <row r="56" spans="1:26" s="14" customFormat="1" ht="17.25" customHeight="1" x14ac:dyDescent="0.25">
      <c r="A56" s="62">
        <v>33</v>
      </c>
      <c r="B56" s="30" t="s">
        <v>121</v>
      </c>
      <c r="C56" s="31" t="s">
        <v>40</v>
      </c>
      <c r="D56" s="43">
        <f t="shared" si="61"/>
        <v>6297200</v>
      </c>
      <c r="E56" s="33">
        <v>26</v>
      </c>
      <c r="F56" s="34">
        <v>5148000</v>
      </c>
      <c r="G56" s="34">
        <v>1149200</v>
      </c>
      <c r="H56" s="35">
        <v>3801200</v>
      </c>
      <c r="I56" s="35">
        <v>730000</v>
      </c>
      <c r="J56" s="35"/>
      <c r="K56" s="36">
        <f t="shared" si="67"/>
        <v>10828400</v>
      </c>
      <c r="L56" s="37">
        <f t="shared" si="62"/>
        <v>503776</v>
      </c>
      <c r="M56" s="38">
        <f t="shared" si="63"/>
        <v>94458</v>
      </c>
      <c r="N56" s="39">
        <f t="shared" si="64"/>
        <v>62972</v>
      </c>
      <c r="O56" s="40">
        <f t="shared" si="65"/>
        <v>661206</v>
      </c>
      <c r="P56" s="38">
        <f>D56*17.5%</f>
        <v>1102010</v>
      </c>
      <c r="Q56" s="38">
        <f t="shared" si="69"/>
        <v>188916</v>
      </c>
      <c r="R56" s="38">
        <f t="shared" si="70"/>
        <v>62972</v>
      </c>
      <c r="S56" s="40">
        <f t="shared" si="66"/>
        <v>1353898</v>
      </c>
      <c r="T56" s="41">
        <f t="shared" si="28"/>
        <v>10167194</v>
      </c>
      <c r="U56" s="42"/>
      <c r="V56" s="68">
        <f t="shared" si="1"/>
        <v>10098400</v>
      </c>
      <c r="W56" s="69">
        <v>11000000</v>
      </c>
      <c r="X56" s="69"/>
      <c r="Y56" s="69">
        <f t="shared" si="29"/>
        <v>0</v>
      </c>
      <c r="Z56" s="69">
        <f t="shared" si="30"/>
        <v>0</v>
      </c>
    </row>
    <row r="57" spans="1:26" s="14" customFormat="1" ht="21.75" customHeight="1" x14ac:dyDescent="0.25">
      <c r="A57" s="29">
        <v>34</v>
      </c>
      <c r="B57" s="30" t="s">
        <v>135</v>
      </c>
      <c r="C57" s="31" t="s">
        <v>41</v>
      </c>
      <c r="D57" s="43">
        <f>F57+G57</f>
        <v>5746000</v>
      </c>
      <c r="E57" s="33">
        <v>26</v>
      </c>
      <c r="F57" s="34">
        <v>4773600</v>
      </c>
      <c r="G57" s="34">
        <v>972400</v>
      </c>
      <c r="H57" s="35">
        <v>3757000</v>
      </c>
      <c r="I57" s="35">
        <v>730000</v>
      </c>
      <c r="J57" s="35"/>
      <c r="K57" s="36">
        <f>F57+G57+H57+I57</f>
        <v>10233000</v>
      </c>
      <c r="L57" s="37">
        <f>D57*8%</f>
        <v>459680</v>
      </c>
      <c r="M57" s="38">
        <f>D57*1.5%</f>
        <v>86190</v>
      </c>
      <c r="N57" s="39">
        <f>D57*1%</f>
        <v>57460</v>
      </c>
      <c r="O57" s="40">
        <f>L57+M57+N57</f>
        <v>603330</v>
      </c>
      <c r="P57" s="38">
        <f>D57*17.5%</f>
        <v>1005549.9999999999</v>
      </c>
      <c r="Q57" s="38">
        <f>D57*3%</f>
        <v>172380</v>
      </c>
      <c r="R57" s="38">
        <f>D57*1%</f>
        <v>57460</v>
      </c>
      <c r="S57" s="40">
        <f>P57+Q57+R57</f>
        <v>1235390</v>
      </c>
      <c r="T57" s="41">
        <f t="shared" si="28"/>
        <v>9629670</v>
      </c>
      <c r="U57" s="42"/>
      <c r="V57" s="68">
        <f>K57-I57</f>
        <v>9503000</v>
      </c>
      <c r="W57" s="69">
        <v>11000000</v>
      </c>
      <c r="X57" s="69"/>
      <c r="Y57" s="69">
        <f>MAX(V57-O57-W57-X57,0)</f>
        <v>0</v>
      </c>
      <c r="Z57" s="69">
        <f>ROUND(IF(Y57&gt;80000000,((Y57-80000000)*0.35+18150000),IF(AND(Y57&gt;52000000,Y57&lt;=80000000),((Y57-52000000)*0.3+9750000),IF(AND(Y57&gt;32000000,Y57&lt;=52000000),((Y57-32000000)*0.25+4750000),IF(AND(Y57&gt;18000000,Y57&lt;=32000000),((Y57-18000000)*0.2+1950000),IF(AND(Y57&gt;10000000,Y57&lt;=18000000),((Y57-10000000)*0.15+750000),IF(AND(Y57&gt;5000000,Y57&lt;=10000000),((Y57-5000000)*0.1+250000),(Y57*0.05))))))),0)</f>
        <v>0</v>
      </c>
    </row>
    <row r="58" spans="1:26" s="14" customFormat="1" ht="21.75" customHeight="1" x14ac:dyDescent="0.25">
      <c r="A58" s="62">
        <v>35</v>
      </c>
      <c r="B58" s="64" t="s">
        <v>154</v>
      </c>
      <c r="C58" s="31" t="s">
        <v>155</v>
      </c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>
        <f t="shared" ref="Z58" si="71">ROUND(IF(Y58&gt;80000000,((Y58-80000000)*0.35+18150000),IF(AND(Y58&gt;52000000,Y58&lt;=80000000),((Y58-52000000)*0.3+9750000),IF(AND(Y58&gt;32000000,Y58&lt;=52000000),((Y58-32000000)*0.25+4750000),IF(AND(Y58&gt;18000000,Y58&lt;=32000000),((Y58-18000000)*0.2+1950000),IF(AND(Y58&gt;10000000,Y58&lt;=18000000),((Y58-10000000)*0.15+750000),IF(AND(Y58&gt;5000000,Y58&lt;=10000000),((Y58-5000000)*0.1+250000),(Y58*0.05))))))),0)</f>
        <v>0</v>
      </c>
    </row>
    <row r="59" spans="1:26" s="14" customFormat="1" ht="19.5" customHeight="1" x14ac:dyDescent="0.25">
      <c r="A59" s="115" t="s">
        <v>43</v>
      </c>
      <c r="B59" s="116"/>
      <c r="C59" s="46"/>
      <c r="D59" s="47">
        <f>D11+D13+D17+D50</f>
        <v>221033800</v>
      </c>
      <c r="E59" s="47">
        <f t="shared" ref="E59:Z59" si="72">E11+E13+E17+E50</f>
        <v>858</v>
      </c>
      <c r="F59" s="47">
        <f t="shared" si="72"/>
        <v>183491800</v>
      </c>
      <c r="G59" s="47">
        <f t="shared" si="72"/>
        <v>37542000</v>
      </c>
      <c r="H59" s="47">
        <f t="shared" si="72"/>
        <v>134633200</v>
      </c>
      <c r="I59" s="47">
        <f t="shared" si="72"/>
        <v>23360000</v>
      </c>
      <c r="J59" s="47">
        <f t="shared" si="72"/>
        <v>120588651.84596753</v>
      </c>
      <c r="K59" s="47">
        <f t="shared" si="72"/>
        <v>498009451.84596741</v>
      </c>
      <c r="L59" s="47">
        <f t="shared" si="72"/>
        <v>18142384</v>
      </c>
      <c r="M59" s="47">
        <f t="shared" si="72"/>
        <v>3401697</v>
      </c>
      <c r="N59" s="47">
        <f t="shared" si="72"/>
        <v>2267798</v>
      </c>
      <c r="O59" s="47">
        <f t="shared" si="72"/>
        <v>23811879</v>
      </c>
      <c r="P59" s="47">
        <f t="shared" si="72"/>
        <v>39686465</v>
      </c>
      <c r="Q59" s="47">
        <f t="shared" si="72"/>
        <v>6803394</v>
      </c>
      <c r="R59" s="47">
        <f t="shared" si="72"/>
        <v>2267798</v>
      </c>
      <c r="S59" s="47">
        <f t="shared" si="72"/>
        <v>48757657</v>
      </c>
      <c r="T59" s="47">
        <f t="shared" si="72"/>
        <v>472489058.84596741</v>
      </c>
      <c r="U59" s="47">
        <f t="shared" si="72"/>
        <v>0</v>
      </c>
      <c r="V59" s="47">
        <f t="shared" si="72"/>
        <v>429563124.23097634</v>
      </c>
      <c r="W59" s="47">
        <f t="shared" si="72"/>
        <v>352000000</v>
      </c>
      <c r="X59" s="47">
        <f t="shared" si="72"/>
        <v>96800000</v>
      </c>
      <c r="Y59" s="47">
        <f t="shared" si="72"/>
        <v>49307268.238718852</v>
      </c>
      <c r="Z59" s="47">
        <f t="shared" si="72"/>
        <v>2616329</v>
      </c>
    </row>
    <row r="60" spans="1:26" s="17" customFormat="1" ht="19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L60" s="16"/>
      <c r="M60" s="16"/>
      <c r="N60" s="104" t="s">
        <v>145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17" t="s">
        <v>46</v>
      </c>
      <c r="O61" s="117"/>
      <c r="P61" s="117"/>
      <c r="Q61" s="117"/>
      <c r="R61" s="117"/>
      <c r="S61" s="117"/>
      <c r="T61" s="117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4" t="s">
        <v>47</v>
      </c>
      <c r="O62" s="104"/>
      <c r="P62" s="104"/>
      <c r="Q62" s="104"/>
      <c r="R62" s="104"/>
      <c r="S62" s="104"/>
      <c r="T62" s="104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6"/>
      <c r="M64" s="16"/>
      <c r="N64" s="16"/>
      <c r="O64" s="16"/>
      <c r="P64" s="16"/>
      <c r="Q64" s="16"/>
      <c r="R64" s="16"/>
      <c r="S64" s="16"/>
      <c r="T64" s="18"/>
      <c r="U64" s="16"/>
      <c r="W64" s="71"/>
      <c r="X64" s="71"/>
      <c r="Y64" s="71"/>
      <c r="Z64" s="71"/>
    </row>
    <row r="65" spans="1:26" ht="19.5" customHeight="1" x14ac:dyDescent="0.25">
      <c r="A65" s="16"/>
      <c r="B65" s="16"/>
      <c r="C65" s="16"/>
      <c r="D65" s="16"/>
      <c r="E65" s="16"/>
      <c r="F65" s="19"/>
      <c r="G65" s="16"/>
      <c r="H65" s="16"/>
      <c r="I65" s="16"/>
      <c r="J65" s="16"/>
      <c r="K65" s="18"/>
      <c r="L65" s="20"/>
      <c r="M65" s="21"/>
      <c r="O65" s="16"/>
      <c r="P65" s="16"/>
      <c r="Q65" s="16"/>
      <c r="R65" s="16"/>
      <c r="S65" s="16"/>
      <c r="T65" s="16"/>
      <c r="U65" s="12"/>
      <c r="W65" s="17"/>
      <c r="X65" s="17"/>
      <c r="Y65" s="17"/>
      <c r="Z65" s="17"/>
    </row>
    <row r="66" spans="1:26" ht="17.25" customHeight="1" x14ac:dyDescent="0.25">
      <c r="K66" s="22"/>
      <c r="L66" s="23"/>
      <c r="M66" s="24"/>
      <c r="W66" s="17"/>
      <c r="X66" s="17"/>
      <c r="Y66" s="17"/>
      <c r="Z66" s="17"/>
    </row>
    <row r="67" spans="1:26" x14ac:dyDescent="0.25">
      <c r="K67" s="22"/>
      <c r="W67" s="17"/>
      <c r="X67" s="17"/>
      <c r="Y67" s="17"/>
      <c r="Z67" s="17"/>
    </row>
    <row r="68" spans="1:26" x14ac:dyDescent="0.25">
      <c r="I68" s="25"/>
      <c r="J68" s="25"/>
      <c r="W68" s="17"/>
      <c r="X68" s="17"/>
      <c r="Y68" s="17"/>
      <c r="Z68" s="17"/>
    </row>
    <row r="69" spans="1:26" x14ac:dyDescent="0.25">
      <c r="D69" s="23"/>
      <c r="F69" s="22"/>
      <c r="G69" s="23"/>
      <c r="W69" s="17"/>
      <c r="X69" s="17"/>
      <c r="Y69" s="17"/>
      <c r="Z69" s="17"/>
    </row>
    <row r="70" spans="1:26" x14ac:dyDescent="0.25">
      <c r="F70" s="27"/>
    </row>
    <row r="72" spans="1:26" x14ac:dyDescent="0.25">
      <c r="N72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9:B59"/>
    <mergeCell ref="N60:T60"/>
    <mergeCell ref="N61:T61"/>
    <mergeCell ref="N62:T62"/>
    <mergeCell ref="W8:W9"/>
    <mergeCell ref="A13:C13"/>
    <mergeCell ref="A11:C11"/>
    <mergeCell ref="A17:C17"/>
    <mergeCell ref="A50:C50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topLeftCell="G31" workbookViewId="0">
      <selection activeCell="Z59" sqref="Z5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6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17605535.46513265</v>
      </c>
      <c r="K13" s="51">
        <f t="shared" si="2"/>
        <v>60249135.465132654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55450884.465132654</v>
      </c>
      <c r="U13" s="51">
        <f t="shared" si="2"/>
        <v>0</v>
      </c>
      <c r="V13" s="51">
        <f t="shared" si="2"/>
        <v>58059135.465132654</v>
      </c>
      <c r="W13" s="51">
        <f t="shared" si="2"/>
        <v>33000000</v>
      </c>
      <c r="X13" s="51">
        <f t="shared" si="2"/>
        <v>4400000</v>
      </c>
      <c r="Y13" s="51">
        <f t="shared" si="2"/>
        <v>21653335.465132654</v>
      </c>
      <c r="Z13" s="51">
        <f t="shared" si="2"/>
        <v>1748001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>
        <v>7909294.8025000002</v>
      </c>
      <c r="K14" s="36">
        <f>F14+G14+H14+I14+J14</f>
        <v>24643094.802500002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22378882.802500002</v>
      </c>
      <c r="U14" s="42"/>
      <c r="V14" s="68">
        <f>K14-I14</f>
        <v>23913094.802500002</v>
      </c>
      <c r="W14" s="69">
        <v>11000000</v>
      </c>
      <c r="X14" s="69"/>
      <c r="Y14" s="69">
        <f>MAX(V14-O14-W14-X14,0)</f>
        <v>11645744.802500002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996862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9696240.6626326498</v>
      </c>
      <c r="K15" s="36">
        <f>F15+G15+H15+I15+J15</f>
        <v>22629040.662632652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20986451.662632652</v>
      </c>
      <c r="U15" s="42"/>
      <c r="V15" s="68">
        <f>K15-I15</f>
        <v>21899040.662632652</v>
      </c>
      <c r="W15" s="69">
        <v>11000000</v>
      </c>
      <c r="X15" s="69"/>
      <c r="Y15" s="69">
        <f>MAX(V15-O15-W15-X15,0)</f>
        <v>10007590.662632652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751139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/>
      <c r="K16" s="36">
        <f t="shared" ref="K16" si="9">F16+G16+H16+I16+J16</f>
        <v>12977000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12085550</v>
      </c>
      <c r="U16" s="42"/>
      <c r="V16" s="68">
        <f t="shared" ref="V16" si="14">K16-I16</f>
        <v>12247000</v>
      </c>
      <c r="W16" s="69">
        <v>11000000</v>
      </c>
      <c r="X16" s="69">
        <f>4400000</f>
        <v>4400000</v>
      </c>
      <c r="Y16" s="69">
        <f t="shared" ref="Y16" si="15">MAX(V16-O16-W16-X16,0)</f>
        <v>0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0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124278800</v>
      </c>
      <c r="E17" s="51">
        <f t="shared" ref="E17:Z17" si="17">SUM(E18:E46)</f>
        <v>520</v>
      </c>
      <c r="F17" s="51">
        <f t="shared" si="17"/>
        <v>104372400</v>
      </c>
      <c r="G17" s="51">
        <f t="shared" si="17"/>
        <v>19906400</v>
      </c>
      <c r="H17" s="51">
        <f t="shared" si="17"/>
        <v>86720400</v>
      </c>
      <c r="I17" s="51">
        <f>SUM(I18:I46)</f>
        <v>14600000</v>
      </c>
      <c r="J17" s="51">
        <f>SUM(J18:J45)</f>
        <v>92291996.375644311</v>
      </c>
      <c r="K17" s="51">
        <f>SUM(K18:K46)</f>
        <v>320150994.89064431</v>
      </c>
      <c r="L17" s="51">
        <f t="shared" si="17"/>
        <v>9942304</v>
      </c>
      <c r="M17" s="51">
        <f t="shared" si="17"/>
        <v>1864182</v>
      </c>
      <c r="N17" s="51">
        <f t="shared" si="17"/>
        <v>1242788</v>
      </c>
      <c r="O17" s="51">
        <f t="shared" si="17"/>
        <v>13049274</v>
      </c>
      <c r="P17" s="51">
        <f t="shared" si="17"/>
        <v>21748790</v>
      </c>
      <c r="Q17" s="51">
        <f t="shared" si="17"/>
        <v>3728364</v>
      </c>
      <c r="R17" s="51">
        <f t="shared" si="17"/>
        <v>1242788</v>
      </c>
      <c r="S17" s="51">
        <f t="shared" si="17"/>
        <v>26719942</v>
      </c>
      <c r="T17" s="51">
        <f t="shared" si="17"/>
        <v>305130183.89064425</v>
      </c>
      <c r="U17" s="51">
        <f t="shared" si="17"/>
        <v>0</v>
      </c>
      <c r="V17" s="51">
        <f t="shared" si="17"/>
        <v>305550994.89064425</v>
      </c>
      <c r="W17" s="51">
        <f t="shared" si="17"/>
        <v>264000000</v>
      </c>
      <c r="X17" s="51">
        <f t="shared" si="17"/>
        <v>88000000</v>
      </c>
      <c r="Y17" s="51">
        <f t="shared" si="17"/>
        <v>39430770.535265304</v>
      </c>
      <c r="Z17" s="51">
        <f t="shared" si="17"/>
        <v>1971537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/>
      <c r="E19" s="33"/>
      <c r="F19" s="34"/>
      <c r="G19" s="34"/>
      <c r="H19" s="35"/>
      <c r="I19" s="35"/>
      <c r="J19" s="35">
        <v>0</v>
      </c>
      <c r="K19" s="36">
        <f t="shared" ref="K19:K48" si="18">F19+G19+H19+I19+J19</f>
        <v>0</v>
      </c>
      <c r="L19" s="37">
        <f t="shared" ref="L19:L39" si="19">D19*8%</f>
        <v>0</v>
      </c>
      <c r="M19" s="38">
        <f t="shared" ref="M19:M39" si="20">D19*1.5%</f>
        <v>0</v>
      </c>
      <c r="N19" s="39">
        <f t="shared" ref="N19:N39" si="21">D19*1%</f>
        <v>0</v>
      </c>
      <c r="O19" s="40">
        <f t="shared" ref="O19:O34" si="22">L19+M19+N19</f>
        <v>0</v>
      </c>
      <c r="P19" s="38">
        <f t="shared" ref="P19:P34" si="23">D19*17.5%</f>
        <v>0</v>
      </c>
      <c r="Q19" s="38">
        <f t="shared" ref="Q19:Q39" si="24">D19*3%</f>
        <v>0</v>
      </c>
      <c r="R19" s="38">
        <f t="shared" ref="R19:R39" si="25">D19*1%</f>
        <v>0</v>
      </c>
      <c r="S19" s="40">
        <f t="shared" ref="S19:S39" si="26">P19+Q19+R19</f>
        <v>0</v>
      </c>
      <c r="T19" s="41">
        <f t="shared" ref="T19:T57" si="27">K19-O19-Z19</f>
        <v>0</v>
      </c>
      <c r="U19" s="42"/>
      <c r="V19" s="68">
        <f t="shared" si="1"/>
        <v>0</v>
      </c>
      <c r="W19" s="69">
        <v>11000000</v>
      </c>
      <c r="X19" s="69">
        <f>4400000</f>
        <v>4400000</v>
      </c>
      <c r="Y19" s="69">
        <f t="shared" ref="Y19:Y56" si="28">MAX(V19-O19-W19-X19,0)</f>
        <v>0</v>
      </c>
      <c r="Z19" s="69">
        <f t="shared" ref="Z19:Z56" si="29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/>
      <c r="E20" s="33"/>
      <c r="F20" s="34"/>
      <c r="G20" s="34"/>
      <c r="H20" s="35"/>
      <c r="I20" s="35"/>
      <c r="J20" s="35">
        <v>0</v>
      </c>
      <c r="K20" s="36">
        <f t="shared" si="18"/>
        <v>0</v>
      </c>
      <c r="L20" s="37">
        <f t="shared" si="19"/>
        <v>0</v>
      </c>
      <c r="M20" s="38">
        <f t="shared" si="20"/>
        <v>0</v>
      </c>
      <c r="N20" s="39">
        <f t="shared" si="21"/>
        <v>0</v>
      </c>
      <c r="O20" s="40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40">
        <f t="shared" si="26"/>
        <v>0</v>
      </c>
      <c r="T20" s="41">
        <f t="shared" si="27"/>
        <v>0</v>
      </c>
      <c r="U20" s="42"/>
      <c r="V20" s="68">
        <f t="shared" si="1"/>
        <v>0</v>
      </c>
      <c r="W20" s="69">
        <v>11000000</v>
      </c>
      <c r="X20" s="69">
        <f>4400000</f>
        <v>4400000</v>
      </c>
      <c r="Y20" s="69">
        <f t="shared" si="28"/>
        <v>0</v>
      </c>
      <c r="Z20" s="69">
        <f t="shared" si="29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8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3"/>
        <v>1097250</v>
      </c>
      <c r="Q21" s="38">
        <f>D21*3%</f>
        <v>188100</v>
      </c>
      <c r="R21" s="38">
        <f t="shared" si="25"/>
        <v>62700</v>
      </c>
      <c r="S21" s="40">
        <f>P21+Q21+R21</f>
        <v>1348050</v>
      </c>
      <c r="T21" s="41">
        <f t="shared" si="27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8"/>
        <v>0</v>
      </c>
      <c r="Z21" s="69">
        <f t="shared" si="29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ref="D22:D39" si="30">F22+G22</f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4519597.03</v>
      </c>
      <c r="K22" s="36">
        <f t="shared" si="18"/>
        <v>16078597.030000001</v>
      </c>
      <c r="L22" s="37">
        <f t="shared" si="19"/>
        <v>459680</v>
      </c>
      <c r="M22" s="38">
        <f t="shared" si="20"/>
        <v>86190</v>
      </c>
      <c r="N22" s="39">
        <f t="shared" si="21"/>
        <v>57460</v>
      </c>
      <c r="O22" s="40">
        <f t="shared" si="22"/>
        <v>603330</v>
      </c>
      <c r="P22" s="38">
        <f t="shared" si="23"/>
        <v>1005549.9999999999</v>
      </c>
      <c r="Q22" s="38">
        <f t="shared" si="24"/>
        <v>172380</v>
      </c>
      <c r="R22" s="38">
        <f t="shared" si="25"/>
        <v>57460</v>
      </c>
      <c r="S22" s="40">
        <f t="shared" si="26"/>
        <v>1235390</v>
      </c>
      <c r="T22" s="41">
        <f t="shared" si="27"/>
        <v>15475267.030000001</v>
      </c>
      <c r="U22" s="42"/>
      <c r="V22" s="68">
        <f t="shared" si="1"/>
        <v>15348597.030000001</v>
      </c>
      <c r="W22" s="69">
        <v>11000000</v>
      </c>
      <c r="X22" s="69">
        <f>4400000</f>
        <v>4400000</v>
      </c>
      <c r="Y22" s="69">
        <f t="shared" si="28"/>
        <v>0</v>
      </c>
      <c r="Z22" s="69">
        <f t="shared" si="29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3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4519597.03</v>
      </c>
      <c r="K23" s="36">
        <f t="shared" si="18"/>
        <v>16078597.030000001</v>
      </c>
      <c r="L23" s="37">
        <f t="shared" si="19"/>
        <v>459680</v>
      </c>
      <c r="M23" s="38">
        <f t="shared" si="20"/>
        <v>86190</v>
      </c>
      <c r="N23" s="39">
        <f t="shared" si="21"/>
        <v>57460</v>
      </c>
      <c r="O23" s="40">
        <f t="shared" si="22"/>
        <v>603330</v>
      </c>
      <c r="P23" s="38">
        <f t="shared" si="23"/>
        <v>1005549.9999999999</v>
      </c>
      <c r="Q23" s="38">
        <f t="shared" si="24"/>
        <v>172380</v>
      </c>
      <c r="R23" s="38">
        <f t="shared" si="25"/>
        <v>57460</v>
      </c>
      <c r="S23" s="40">
        <f t="shared" si="26"/>
        <v>1235390</v>
      </c>
      <c r="T23" s="41">
        <f t="shared" si="27"/>
        <v>15288004.030000001</v>
      </c>
      <c r="U23" s="42"/>
      <c r="V23" s="68">
        <f t="shared" si="1"/>
        <v>15348597.030000001</v>
      </c>
      <c r="W23" s="69">
        <v>11000000</v>
      </c>
      <c r="X23" s="69"/>
      <c r="Y23" s="69">
        <f t="shared" si="28"/>
        <v>3745267.0300000012</v>
      </c>
      <c r="Z23" s="69">
        <f t="shared" si="29"/>
        <v>187263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30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4519597.03</v>
      </c>
      <c r="K24" s="36">
        <f t="shared" si="18"/>
        <v>16078597.030000001</v>
      </c>
      <c r="L24" s="37">
        <f t="shared" si="19"/>
        <v>459680</v>
      </c>
      <c r="M24" s="38">
        <f t="shared" si="20"/>
        <v>86190</v>
      </c>
      <c r="N24" s="39">
        <f t="shared" si="21"/>
        <v>57460</v>
      </c>
      <c r="O24" s="40">
        <f t="shared" si="22"/>
        <v>603330</v>
      </c>
      <c r="P24" s="38">
        <f t="shared" si="23"/>
        <v>1005549.9999999999</v>
      </c>
      <c r="Q24" s="38">
        <f t="shared" si="24"/>
        <v>172380</v>
      </c>
      <c r="R24" s="38">
        <f t="shared" si="25"/>
        <v>57460</v>
      </c>
      <c r="S24" s="40">
        <f t="shared" si="26"/>
        <v>1235390</v>
      </c>
      <c r="T24" s="41">
        <f t="shared" si="27"/>
        <v>15288004.030000001</v>
      </c>
      <c r="U24" s="42"/>
      <c r="V24" s="68">
        <f t="shared" si="1"/>
        <v>15348597.030000001</v>
      </c>
      <c r="W24" s="69">
        <v>11000000</v>
      </c>
      <c r="X24" s="69"/>
      <c r="Y24" s="69">
        <f t="shared" si="28"/>
        <v>3745267.0300000012</v>
      </c>
      <c r="Z24" s="69">
        <f t="shared" si="29"/>
        <v>187263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30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5649496.2875000006</v>
      </c>
      <c r="K25" s="36">
        <f t="shared" si="18"/>
        <v>16368696.287500001</v>
      </c>
      <c r="L25" s="37">
        <f t="shared" si="19"/>
        <v>502112</v>
      </c>
      <c r="M25" s="38">
        <f t="shared" si="20"/>
        <v>94146</v>
      </c>
      <c r="N25" s="39">
        <f t="shared" si="21"/>
        <v>62764</v>
      </c>
      <c r="O25" s="40">
        <f t="shared" si="22"/>
        <v>659022</v>
      </c>
      <c r="P25" s="38">
        <f t="shared" si="23"/>
        <v>1098370</v>
      </c>
      <c r="Q25" s="38">
        <f t="shared" si="24"/>
        <v>188292</v>
      </c>
      <c r="R25" s="38">
        <f t="shared" si="25"/>
        <v>62764</v>
      </c>
      <c r="S25" s="40">
        <f t="shared" si="26"/>
        <v>1349426</v>
      </c>
      <c r="T25" s="41">
        <f t="shared" si="27"/>
        <v>15709674.287500001</v>
      </c>
      <c r="U25" s="42"/>
      <c r="V25" s="68">
        <f t="shared" si="1"/>
        <v>15638696.287500001</v>
      </c>
      <c r="W25" s="69">
        <v>11000000</v>
      </c>
      <c r="X25" s="69">
        <f>4400000*2</f>
        <v>8800000</v>
      </c>
      <c r="Y25" s="69">
        <f t="shared" si="28"/>
        <v>0</v>
      </c>
      <c r="Z25" s="69">
        <f t="shared" si="29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3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4155531.7125568502</v>
      </c>
      <c r="K26" s="36">
        <f t="shared" si="18"/>
        <v>15714531.71255685</v>
      </c>
      <c r="L26" s="37">
        <f t="shared" si="19"/>
        <v>459680</v>
      </c>
      <c r="M26" s="38">
        <f t="shared" si="20"/>
        <v>86190</v>
      </c>
      <c r="N26" s="39">
        <f t="shared" si="21"/>
        <v>57460</v>
      </c>
      <c r="O26" s="40">
        <f t="shared" si="22"/>
        <v>603330</v>
      </c>
      <c r="P26" s="38">
        <f t="shared" si="23"/>
        <v>1005549.9999999999</v>
      </c>
      <c r="Q26" s="38">
        <f t="shared" si="24"/>
        <v>172380</v>
      </c>
      <c r="R26" s="38">
        <f t="shared" si="25"/>
        <v>57460</v>
      </c>
      <c r="S26" s="40">
        <f t="shared" si="26"/>
        <v>1235390</v>
      </c>
      <c r="T26" s="41">
        <f t="shared" si="27"/>
        <v>14942141.71255685</v>
      </c>
      <c r="U26" s="42"/>
      <c r="V26" s="68">
        <f t="shared" si="1"/>
        <v>14984531.71255685</v>
      </c>
      <c r="W26" s="69">
        <v>11000000</v>
      </c>
      <c r="X26" s="69"/>
      <c r="Y26" s="69">
        <f t="shared" si="28"/>
        <v>3381201.7125568502</v>
      </c>
      <c r="Z26" s="69">
        <f t="shared" si="29"/>
        <v>169060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3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5649496.2875000006</v>
      </c>
      <c r="K27" s="36">
        <f t="shared" si="18"/>
        <v>17208496.287500001</v>
      </c>
      <c r="L27" s="37">
        <f t="shared" si="19"/>
        <v>459680</v>
      </c>
      <c r="M27" s="38">
        <f t="shared" si="20"/>
        <v>86190</v>
      </c>
      <c r="N27" s="39">
        <f t="shared" si="21"/>
        <v>57460</v>
      </c>
      <c r="O27" s="40">
        <f t="shared" si="22"/>
        <v>603330</v>
      </c>
      <c r="P27" s="38">
        <f t="shared" si="23"/>
        <v>1005549.9999999999</v>
      </c>
      <c r="Q27" s="38">
        <f t="shared" si="24"/>
        <v>172380</v>
      </c>
      <c r="R27" s="38">
        <f t="shared" si="25"/>
        <v>57460</v>
      </c>
      <c r="S27" s="40">
        <f t="shared" si="26"/>
        <v>1235390</v>
      </c>
      <c r="T27" s="41">
        <f t="shared" si="27"/>
        <v>16361408.287500001</v>
      </c>
      <c r="U27" s="42"/>
      <c r="V27" s="68">
        <f t="shared" si="1"/>
        <v>16478496.287500001</v>
      </c>
      <c r="W27" s="69">
        <v>11000000</v>
      </c>
      <c r="X27" s="69"/>
      <c r="Y27" s="69">
        <f t="shared" si="28"/>
        <v>4875166.2875000015</v>
      </c>
      <c r="Z27" s="69">
        <f t="shared" si="29"/>
        <v>243758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3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4155531.7125568502</v>
      </c>
      <c r="K28" s="36">
        <f t="shared" si="18"/>
        <v>15714531.71255685</v>
      </c>
      <c r="L28" s="37">
        <f t="shared" si="19"/>
        <v>459680</v>
      </c>
      <c r="M28" s="38">
        <f t="shared" si="20"/>
        <v>86190</v>
      </c>
      <c r="N28" s="39">
        <f t="shared" si="21"/>
        <v>57460</v>
      </c>
      <c r="O28" s="40">
        <f t="shared" si="22"/>
        <v>603330</v>
      </c>
      <c r="P28" s="38">
        <f t="shared" si="23"/>
        <v>1005549.9999999999</v>
      </c>
      <c r="Q28" s="38">
        <f t="shared" si="24"/>
        <v>172380</v>
      </c>
      <c r="R28" s="38">
        <f t="shared" si="25"/>
        <v>57460</v>
      </c>
      <c r="S28" s="40">
        <f t="shared" si="26"/>
        <v>1235390</v>
      </c>
      <c r="T28" s="41">
        <f t="shared" si="27"/>
        <v>15111201.71255685</v>
      </c>
      <c r="U28" s="42"/>
      <c r="V28" s="68">
        <f t="shared" si="1"/>
        <v>14984531.71255685</v>
      </c>
      <c r="W28" s="69">
        <v>11000000</v>
      </c>
      <c r="X28" s="69">
        <f>4400000*2</f>
        <v>8800000</v>
      </c>
      <c r="Y28" s="69">
        <f t="shared" si="28"/>
        <v>0</v>
      </c>
      <c r="Z28" s="69">
        <f t="shared" si="29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3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5540708.9500757996</v>
      </c>
      <c r="K29" s="36">
        <f t="shared" si="18"/>
        <v>16259908.9500758</v>
      </c>
      <c r="L29" s="37">
        <f t="shared" si="19"/>
        <v>502112</v>
      </c>
      <c r="M29" s="38">
        <f t="shared" si="20"/>
        <v>94146</v>
      </c>
      <c r="N29" s="39">
        <f t="shared" si="21"/>
        <v>62764</v>
      </c>
      <c r="O29" s="40">
        <f t="shared" si="22"/>
        <v>659022</v>
      </c>
      <c r="P29" s="38">
        <f t="shared" si="23"/>
        <v>1098370</v>
      </c>
      <c r="Q29" s="38">
        <f t="shared" si="24"/>
        <v>188292</v>
      </c>
      <c r="R29" s="38">
        <f t="shared" si="25"/>
        <v>62764</v>
      </c>
      <c r="S29" s="40">
        <f t="shared" si="26"/>
        <v>1349426</v>
      </c>
      <c r="T29" s="41">
        <f t="shared" si="27"/>
        <v>15600886.9500758</v>
      </c>
      <c r="U29" s="42"/>
      <c r="V29" s="68">
        <f t="shared" si="1"/>
        <v>15529908.9500758</v>
      </c>
      <c r="W29" s="69">
        <v>11000000</v>
      </c>
      <c r="X29" s="69">
        <f>4400000*3</f>
        <v>13200000</v>
      </c>
      <c r="Y29" s="69">
        <f t="shared" si="28"/>
        <v>0</v>
      </c>
      <c r="Z29" s="69">
        <f t="shared" si="29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3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5540708.9500757996</v>
      </c>
      <c r="K30" s="36">
        <f t="shared" si="18"/>
        <v>16259908.9500758</v>
      </c>
      <c r="L30" s="37">
        <f t="shared" si="19"/>
        <v>502112</v>
      </c>
      <c r="M30" s="38">
        <f t="shared" si="20"/>
        <v>94146</v>
      </c>
      <c r="N30" s="39">
        <f t="shared" si="21"/>
        <v>62764</v>
      </c>
      <c r="O30" s="40">
        <f t="shared" si="22"/>
        <v>659022</v>
      </c>
      <c r="P30" s="38">
        <f t="shared" si="23"/>
        <v>1098370</v>
      </c>
      <c r="Q30" s="38">
        <f t="shared" si="24"/>
        <v>188292</v>
      </c>
      <c r="R30" s="38">
        <f t="shared" si="25"/>
        <v>62764</v>
      </c>
      <c r="S30" s="40">
        <f t="shared" si="26"/>
        <v>1349426</v>
      </c>
      <c r="T30" s="41">
        <f t="shared" si="27"/>
        <v>15600886.9500758</v>
      </c>
      <c r="U30" s="42"/>
      <c r="V30" s="68">
        <f t="shared" si="1"/>
        <v>15529908.9500758</v>
      </c>
      <c r="W30" s="69">
        <v>11000000</v>
      </c>
      <c r="X30" s="69">
        <f>4400000</f>
        <v>4400000</v>
      </c>
      <c r="Y30" s="69">
        <f t="shared" si="28"/>
        <v>0</v>
      </c>
      <c r="Z30" s="69">
        <f t="shared" si="29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3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89">
        <v>4155531.7125568502</v>
      </c>
      <c r="K31" s="36">
        <f t="shared" si="18"/>
        <v>15714531.71255685</v>
      </c>
      <c r="L31" s="37">
        <f t="shared" si="19"/>
        <v>459680</v>
      </c>
      <c r="M31" s="38">
        <f t="shared" si="20"/>
        <v>86190</v>
      </c>
      <c r="N31" s="39">
        <f t="shared" si="21"/>
        <v>57460</v>
      </c>
      <c r="O31" s="40">
        <f t="shared" si="22"/>
        <v>603330</v>
      </c>
      <c r="P31" s="38">
        <f t="shared" si="23"/>
        <v>1005549.9999999999</v>
      </c>
      <c r="Q31" s="38">
        <f t="shared" si="24"/>
        <v>172380</v>
      </c>
      <c r="R31" s="38">
        <f t="shared" si="25"/>
        <v>57460</v>
      </c>
      <c r="S31" s="40">
        <f t="shared" si="26"/>
        <v>1235390</v>
      </c>
      <c r="T31" s="41">
        <f t="shared" si="27"/>
        <v>15111201.71255685</v>
      </c>
      <c r="U31" s="42"/>
      <c r="V31" s="68">
        <f t="shared" si="1"/>
        <v>14984531.71255685</v>
      </c>
      <c r="W31" s="69">
        <v>11000000</v>
      </c>
      <c r="X31" s="69">
        <f>4400000*3</f>
        <v>13200000</v>
      </c>
      <c r="Y31" s="69">
        <f t="shared" si="28"/>
        <v>0</v>
      </c>
      <c r="Z31" s="69">
        <f t="shared" si="29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35">
        <v>0</v>
      </c>
      <c r="K32" s="36">
        <f t="shared" si="18"/>
        <v>0</v>
      </c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8"/>
        <v>0</v>
      </c>
      <c r="Z32" s="95">
        <f t="shared" si="29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/>
      <c r="E33" s="33"/>
      <c r="F33" s="34"/>
      <c r="G33" s="34"/>
      <c r="H33" s="35"/>
      <c r="I33" s="35"/>
      <c r="J33" s="35">
        <v>0</v>
      </c>
      <c r="K33" s="36">
        <f t="shared" si="18"/>
        <v>0</v>
      </c>
      <c r="L33" s="37">
        <f t="shared" si="19"/>
        <v>0</v>
      </c>
      <c r="M33" s="38">
        <f t="shared" si="20"/>
        <v>0</v>
      </c>
      <c r="N33" s="39">
        <f t="shared" si="21"/>
        <v>0</v>
      </c>
      <c r="O33" s="40">
        <f t="shared" si="22"/>
        <v>0</v>
      </c>
      <c r="P33" s="38">
        <f t="shared" si="23"/>
        <v>0</v>
      </c>
      <c r="Q33" s="38">
        <f t="shared" si="24"/>
        <v>0</v>
      </c>
      <c r="R33" s="38">
        <f t="shared" si="25"/>
        <v>0</v>
      </c>
      <c r="S33" s="40">
        <f t="shared" si="26"/>
        <v>0</v>
      </c>
      <c r="T33" s="41">
        <f t="shared" si="27"/>
        <v>0</v>
      </c>
      <c r="U33" s="42"/>
      <c r="V33" s="68">
        <f t="shared" si="1"/>
        <v>0</v>
      </c>
      <c r="W33" s="69">
        <v>11000000</v>
      </c>
      <c r="X33" s="69"/>
      <c r="Y33" s="69">
        <f t="shared" si="28"/>
        <v>0</v>
      </c>
      <c r="Z33" s="69">
        <f t="shared" si="29"/>
        <v>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3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8311063.4251137003</v>
      </c>
      <c r="K34" s="36">
        <f t="shared" si="18"/>
        <v>20821663.4251137</v>
      </c>
      <c r="L34" s="37">
        <f t="shared" si="19"/>
        <v>634816</v>
      </c>
      <c r="M34" s="38">
        <f t="shared" si="20"/>
        <v>119028</v>
      </c>
      <c r="N34" s="39">
        <f t="shared" si="21"/>
        <v>79352</v>
      </c>
      <c r="O34" s="40">
        <f t="shared" si="22"/>
        <v>833196</v>
      </c>
      <c r="P34" s="38">
        <f t="shared" si="23"/>
        <v>1388660</v>
      </c>
      <c r="Q34" s="38">
        <f t="shared" si="24"/>
        <v>238056</v>
      </c>
      <c r="R34" s="38">
        <f t="shared" si="25"/>
        <v>79352</v>
      </c>
      <c r="S34" s="40">
        <f t="shared" si="26"/>
        <v>1706068</v>
      </c>
      <c r="T34" s="41">
        <f t="shared" si="27"/>
        <v>19988467.4251137</v>
      </c>
      <c r="U34" s="42"/>
      <c r="V34" s="68">
        <f t="shared" si="1"/>
        <v>20091663.4251137</v>
      </c>
      <c r="W34" s="69">
        <v>11000000</v>
      </c>
      <c r="X34" s="69">
        <f>4400000*3</f>
        <v>13200000</v>
      </c>
      <c r="Y34" s="69">
        <f t="shared" si="28"/>
        <v>0</v>
      </c>
      <c r="Z34" s="69">
        <f t="shared" si="29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3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5649496.2875000006</v>
      </c>
      <c r="K35" s="36">
        <f t="shared" si="18"/>
        <v>16680696.287500001</v>
      </c>
      <c r="L35" s="37">
        <f t="shared" si="19"/>
        <v>527072</v>
      </c>
      <c r="M35" s="38">
        <f t="shared" si="20"/>
        <v>98826</v>
      </c>
      <c r="N35" s="39">
        <f t="shared" si="21"/>
        <v>65884</v>
      </c>
      <c r="O35" s="40">
        <f>L35+M35+N35</f>
        <v>691782</v>
      </c>
      <c r="P35" s="38">
        <f>D35*17.5%</f>
        <v>1152970</v>
      </c>
      <c r="Q35" s="38">
        <f t="shared" si="24"/>
        <v>197652</v>
      </c>
      <c r="R35" s="38">
        <f t="shared" si="25"/>
        <v>65884</v>
      </c>
      <c r="S35" s="40">
        <f t="shared" si="26"/>
        <v>1416506</v>
      </c>
      <c r="T35" s="41">
        <f t="shared" si="27"/>
        <v>15775968.287500001</v>
      </c>
      <c r="U35" s="42"/>
      <c r="V35" s="68">
        <f t="shared" si="1"/>
        <v>15950696.287500001</v>
      </c>
      <c r="W35" s="69">
        <v>11000000</v>
      </c>
      <c r="X35" s="69"/>
      <c r="Y35" s="69">
        <f t="shared" si="28"/>
        <v>4258914.2875000015</v>
      </c>
      <c r="Z35" s="69">
        <f t="shared" si="29"/>
        <v>212946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3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5649496.2875000006</v>
      </c>
      <c r="K36" s="36">
        <f t="shared" si="18"/>
        <v>16680696.287500001</v>
      </c>
      <c r="L36" s="37">
        <f t="shared" si="19"/>
        <v>527072</v>
      </c>
      <c r="M36" s="38">
        <f t="shared" si="20"/>
        <v>98826</v>
      </c>
      <c r="N36" s="39">
        <f t="shared" si="21"/>
        <v>65884</v>
      </c>
      <c r="O36" s="40">
        <f>L36+M36+N36</f>
        <v>691782</v>
      </c>
      <c r="P36" s="38">
        <f>D36*17.5%</f>
        <v>1152970</v>
      </c>
      <c r="Q36" s="38">
        <f t="shared" si="24"/>
        <v>197652</v>
      </c>
      <c r="R36" s="38">
        <f t="shared" si="25"/>
        <v>65884</v>
      </c>
      <c r="S36" s="40">
        <f t="shared" si="26"/>
        <v>1416506</v>
      </c>
      <c r="T36" s="41">
        <f t="shared" si="27"/>
        <v>15988914.287500001</v>
      </c>
      <c r="U36" s="42"/>
      <c r="V36" s="68">
        <f t="shared" si="1"/>
        <v>15950696.287500001</v>
      </c>
      <c r="W36" s="69">
        <v>11000000</v>
      </c>
      <c r="X36" s="69">
        <f>4400000</f>
        <v>4400000</v>
      </c>
      <c r="Y36" s="69">
        <f t="shared" si="28"/>
        <v>0</v>
      </c>
      <c r="Z36" s="69">
        <f t="shared" si="29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>
        <f t="shared" si="18"/>
        <v>0</v>
      </c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8"/>
        <v>0</v>
      </c>
      <c r="Z37" s="69">
        <f t="shared" si="29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30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4519597.03</v>
      </c>
      <c r="K38" s="36">
        <f t="shared" si="18"/>
        <v>15550797.030000001</v>
      </c>
      <c r="L38" s="37">
        <f t="shared" si="19"/>
        <v>527072</v>
      </c>
      <c r="M38" s="38">
        <f t="shared" si="20"/>
        <v>98826</v>
      </c>
      <c r="N38" s="39">
        <f t="shared" si="21"/>
        <v>65884</v>
      </c>
      <c r="O38" s="40">
        <f>L38+M38+N38</f>
        <v>691782</v>
      </c>
      <c r="P38" s="38">
        <f>D38*17.5%</f>
        <v>1152970</v>
      </c>
      <c r="Q38" s="38">
        <f t="shared" si="24"/>
        <v>197652</v>
      </c>
      <c r="R38" s="38">
        <f t="shared" si="25"/>
        <v>65884</v>
      </c>
      <c r="S38" s="40">
        <f t="shared" si="26"/>
        <v>1416506</v>
      </c>
      <c r="T38" s="41">
        <f t="shared" si="27"/>
        <v>14702564.030000001</v>
      </c>
      <c r="U38" s="42"/>
      <c r="V38" s="68">
        <f t="shared" si="1"/>
        <v>14820797.030000001</v>
      </c>
      <c r="W38" s="69">
        <v>11000000</v>
      </c>
      <c r="X38" s="69"/>
      <c r="Y38" s="69">
        <f t="shared" si="28"/>
        <v>3129015.0300000012</v>
      </c>
      <c r="Z38" s="69">
        <f t="shared" si="29"/>
        <v>156451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30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4519597.03</v>
      </c>
      <c r="K39" s="36">
        <f t="shared" si="18"/>
        <v>15550797.030000001</v>
      </c>
      <c r="L39" s="37">
        <f t="shared" si="19"/>
        <v>527072</v>
      </c>
      <c r="M39" s="38">
        <f t="shared" si="20"/>
        <v>98826</v>
      </c>
      <c r="N39" s="39">
        <f t="shared" si="21"/>
        <v>65884</v>
      </c>
      <c r="O39" s="40">
        <f>L39+M39+N39</f>
        <v>691782</v>
      </c>
      <c r="P39" s="38">
        <f>D39*17.5%</f>
        <v>1152970</v>
      </c>
      <c r="Q39" s="38">
        <f t="shared" si="24"/>
        <v>197652</v>
      </c>
      <c r="R39" s="38">
        <f t="shared" si="25"/>
        <v>65884</v>
      </c>
      <c r="S39" s="40">
        <f t="shared" si="26"/>
        <v>1416506</v>
      </c>
      <c r="T39" s="41">
        <f t="shared" si="27"/>
        <v>14702564.030000001</v>
      </c>
      <c r="U39" s="42"/>
      <c r="V39" s="68">
        <f t="shared" si="1"/>
        <v>14820797.030000001</v>
      </c>
      <c r="W39" s="69">
        <v>11000000</v>
      </c>
      <c r="X39" s="69"/>
      <c r="Y39" s="69">
        <f t="shared" si="28"/>
        <v>3129015.0300000012</v>
      </c>
      <c r="Z39" s="69">
        <f t="shared" si="29"/>
        <v>156451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>
        <f t="shared" si="18"/>
        <v>0</v>
      </c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8"/>
        <v>0</v>
      </c>
      <c r="Z40" s="69">
        <f t="shared" si="29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>
        <f t="shared" si="18"/>
        <v>0</v>
      </c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8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4155531.7125568502</v>
      </c>
      <c r="K42" s="36">
        <f t="shared" si="18"/>
        <v>15714531.71255685</v>
      </c>
      <c r="L42" s="37">
        <f t="shared" ref="L42:L49" si="32">D42*8%</f>
        <v>459680</v>
      </c>
      <c r="M42" s="38">
        <f t="shared" ref="M42:M49" si="33">D42*1.5%</f>
        <v>86190</v>
      </c>
      <c r="N42" s="39">
        <f t="shared" ref="N42:N49" si="34">D42*1%</f>
        <v>57460</v>
      </c>
      <c r="O42" s="40">
        <f t="shared" ref="O42" si="35">L42+M42+N42</f>
        <v>603330</v>
      </c>
      <c r="P42" s="38">
        <f t="shared" ref="P42" si="36">D42*17.5%</f>
        <v>1005549.9999999999</v>
      </c>
      <c r="Q42" s="38">
        <f t="shared" ref="Q42:Q49" si="37">D42*3%</f>
        <v>172380</v>
      </c>
      <c r="R42" s="38">
        <f t="shared" ref="R42:R49" si="38">D42*1%</f>
        <v>57460</v>
      </c>
      <c r="S42" s="40">
        <f t="shared" ref="S42:S49" si="39">P42+Q42+R42</f>
        <v>1235390</v>
      </c>
      <c r="T42" s="41">
        <f t="shared" ref="T42:T49" si="40">K42-O42-Z42</f>
        <v>14942141.71255685</v>
      </c>
      <c r="U42" s="42"/>
      <c r="V42" s="68">
        <f t="shared" ref="V42:V49" si="41">K42-I42</f>
        <v>14984531.71255685</v>
      </c>
      <c r="W42" s="69">
        <v>11000000</v>
      </c>
      <c r="X42" s="69"/>
      <c r="Y42" s="69">
        <f t="shared" ref="Y42:Y49" si="42">MAX(V42-O42-W42-X42,0)</f>
        <v>3381201.7125568502</v>
      </c>
      <c r="Z42" s="69">
        <f t="shared" ref="Z42:Z49" si="43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169060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/>
      <c r="E43" s="33"/>
      <c r="F43" s="34"/>
      <c r="G43" s="34"/>
      <c r="H43" s="35"/>
      <c r="I43" s="35"/>
      <c r="J43" s="35">
        <v>0</v>
      </c>
      <c r="K43" s="36">
        <f t="shared" si="18"/>
        <v>0</v>
      </c>
      <c r="L43" s="37">
        <f t="shared" si="32"/>
        <v>0</v>
      </c>
      <c r="M43" s="38">
        <f t="shared" si="33"/>
        <v>0</v>
      </c>
      <c r="N43" s="39">
        <f t="shared" si="34"/>
        <v>0</v>
      </c>
      <c r="O43" s="40">
        <f>L43+M43+N43</f>
        <v>0</v>
      </c>
      <c r="P43" s="38">
        <f>D43*17.5%</f>
        <v>0</v>
      </c>
      <c r="Q43" s="38">
        <f t="shared" si="37"/>
        <v>0</v>
      </c>
      <c r="R43" s="38">
        <f t="shared" si="38"/>
        <v>0</v>
      </c>
      <c r="S43" s="40">
        <f t="shared" si="39"/>
        <v>0</v>
      </c>
      <c r="T43" s="41">
        <f t="shared" si="40"/>
        <v>0</v>
      </c>
      <c r="U43" s="42"/>
      <c r="V43" s="68">
        <f t="shared" si="41"/>
        <v>0</v>
      </c>
      <c r="W43" s="69">
        <v>11000000</v>
      </c>
      <c r="X43" s="69"/>
      <c r="Y43" s="69">
        <f t="shared" si="42"/>
        <v>0</v>
      </c>
      <c r="Z43" s="69">
        <f t="shared" si="43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5540708.9500757996</v>
      </c>
      <c r="K44" s="36">
        <f t="shared" si="18"/>
        <v>16571908.9500758</v>
      </c>
      <c r="L44" s="37">
        <f t="shared" si="32"/>
        <v>527072</v>
      </c>
      <c r="M44" s="38">
        <f t="shared" si="33"/>
        <v>98826</v>
      </c>
      <c r="N44" s="39">
        <f t="shared" si="34"/>
        <v>65884</v>
      </c>
      <c r="O44" s="40">
        <f>L44+M44+N44</f>
        <v>691782</v>
      </c>
      <c r="P44" s="38">
        <f>D44*17.5%</f>
        <v>1152970</v>
      </c>
      <c r="Q44" s="38">
        <f t="shared" si="37"/>
        <v>197652</v>
      </c>
      <c r="R44" s="38">
        <f t="shared" si="38"/>
        <v>65884</v>
      </c>
      <c r="S44" s="40">
        <f t="shared" si="39"/>
        <v>1416506</v>
      </c>
      <c r="T44" s="41">
        <f t="shared" si="40"/>
        <v>15672620.9500758</v>
      </c>
      <c r="U44" s="42"/>
      <c r="V44" s="68">
        <f t="shared" si="41"/>
        <v>15841908.9500758</v>
      </c>
      <c r="W44" s="69">
        <v>11000000</v>
      </c>
      <c r="X44" s="69"/>
      <c r="Y44" s="69">
        <f t="shared" si="42"/>
        <v>4150126.9500757996</v>
      </c>
      <c r="Z44" s="69">
        <f t="shared" si="43"/>
        <v>207506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5540708.9500757996</v>
      </c>
      <c r="K45" s="36">
        <f t="shared" si="18"/>
        <v>16571908.9500758</v>
      </c>
      <c r="L45" s="37">
        <f t="shared" si="32"/>
        <v>527072</v>
      </c>
      <c r="M45" s="38">
        <f t="shared" si="33"/>
        <v>98826</v>
      </c>
      <c r="N45" s="39">
        <f t="shared" si="34"/>
        <v>65884</v>
      </c>
      <c r="O45" s="40">
        <f>L45+M45+N45</f>
        <v>691782</v>
      </c>
      <c r="P45" s="38">
        <f>D45*17.5%</f>
        <v>1152970</v>
      </c>
      <c r="Q45" s="38">
        <f t="shared" si="37"/>
        <v>197652</v>
      </c>
      <c r="R45" s="38">
        <f t="shared" si="38"/>
        <v>65884</v>
      </c>
      <c r="S45" s="40">
        <f t="shared" si="39"/>
        <v>1416506</v>
      </c>
      <c r="T45" s="41">
        <f t="shared" si="40"/>
        <v>15672620.9500758</v>
      </c>
      <c r="U45" s="42"/>
      <c r="V45" s="68">
        <f t="shared" si="41"/>
        <v>15841908.9500758</v>
      </c>
      <c r="W45" s="69">
        <v>11000000</v>
      </c>
      <c r="X45" s="69"/>
      <c r="Y45" s="69">
        <f t="shared" si="42"/>
        <v>4150126.9500757996</v>
      </c>
      <c r="Z45" s="69">
        <f t="shared" si="43"/>
        <v>207506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2259798.5150000001</v>
      </c>
      <c r="K46" s="36">
        <f t="shared" si="18"/>
        <v>13818798.515000001</v>
      </c>
      <c r="L46" s="37">
        <f t="shared" si="32"/>
        <v>459680</v>
      </c>
      <c r="M46" s="38">
        <f t="shared" si="33"/>
        <v>86190</v>
      </c>
      <c r="N46" s="39">
        <f t="shared" si="34"/>
        <v>57460</v>
      </c>
      <c r="O46" s="40">
        <f t="shared" ref="O46:O49" si="44">L46+M46+N46</f>
        <v>603330</v>
      </c>
      <c r="P46" s="38">
        <f t="shared" ref="P46:P49" si="45">D46*17.5%</f>
        <v>1005549.9999999999</v>
      </c>
      <c r="Q46" s="38">
        <f t="shared" si="37"/>
        <v>172380</v>
      </c>
      <c r="R46" s="38">
        <f t="shared" si="38"/>
        <v>57460</v>
      </c>
      <c r="S46" s="40">
        <f t="shared" si="39"/>
        <v>1235390</v>
      </c>
      <c r="T46" s="41">
        <f t="shared" si="40"/>
        <v>13141195.515000001</v>
      </c>
      <c r="U46" s="42"/>
      <c r="V46" s="68">
        <f t="shared" si="41"/>
        <v>13088798.515000001</v>
      </c>
      <c r="W46" s="69">
        <v>11000000</v>
      </c>
      <c r="X46" s="69"/>
      <c r="Y46" s="69">
        <f t="shared" si="42"/>
        <v>1485468.5150000006</v>
      </c>
      <c r="Z46" s="69">
        <f t="shared" si="43"/>
        <v>74273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>
        <v>4519597.03</v>
      </c>
      <c r="K47" s="36">
        <f t="shared" si="18"/>
        <v>15238797.030000001</v>
      </c>
      <c r="L47" s="37">
        <f t="shared" si="32"/>
        <v>502112</v>
      </c>
      <c r="M47" s="38">
        <f t="shared" si="33"/>
        <v>94146</v>
      </c>
      <c r="N47" s="39">
        <f t="shared" si="34"/>
        <v>62764</v>
      </c>
      <c r="O47" s="40">
        <f t="shared" si="44"/>
        <v>659022</v>
      </c>
      <c r="P47" s="38">
        <f t="shared" si="45"/>
        <v>1098370</v>
      </c>
      <c r="Q47" s="38">
        <f t="shared" si="37"/>
        <v>188292</v>
      </c>
      <c r="R47" s="38">
        <f t="shared" si="38"/>
        <v>62764</v>
      </c>
      <c r="S47" s="40">
        <f t="shared" si="39"/>
        <v>1349426</v>
      </c>
      <c r="T47" s="41">
        <f t="shared" si="40"/>
        <v>14579775.030000001</v>
      </c>
      <c r="U47" s="42"/>
      <c r="V47" s="68">
        <f t="shared" si="41"/>
        <v>14508797.030000001</v>
      </c>
      <c r="W47" s="69">
        <v>11000000</v>
      </c>
      <c r="X47" s="69">
        <f>4400000</f>
        <v>4400000</v>
      </c>
      <c r="Y47" s="69">
        <f t="shared" si="42"/>
        <v>0</v>
      </c>
      <c r="Z47" s="69">
        <f t="shared" si="43"/>
        <v>0</v>
      </c>
    </row>
    <row r="48" spans="1:26" s="53" customFormat="1" ht="21.75" customHeight="1" x14ac:dyDescent="0.25">
      <c r="A48" s="29">
        <v>31</v>
      </c>
      <c r="B48" s="30" t="s">
        <v>91</v>
      </c>
      <c r="C48" s="31" t="s">
        <v>30</v>
      </c>
      <c r="D48" s="32">
        <f t="shared" si="31"/>
        <v>5746000</v>
      </c>
      <c r="E48" s="33">
        <v>26</v>
      </c>
      <c r="F48" s="34">
        <v>4773600</v>
      </c>
      <c r="G48" s="34">
        <v>972400</v>
      </c>
      <c r="H48" s="35">
        <v>5083000</v>
      </c>
      <c r="I48" s="35">
        <v>730000</v>
      </c>
      <c r="J48" s="35">
        <v>4155531.7125568502</v>
      </c>
      <c r="K48" s="36">
        <f t="shared" si="18"/>
        <v>15714531.71255685</v>
      </c>
      <c r="L48" s="37">
        <f t="shared" si="32"/>
        <v>459680</v>
      </c>
      <c r="M48" s="38">
        <f t="shared" si="33"/>
        <v>86190</v>
      </c>
      <c r="N48" s="39">
        <f t="shared" si="34"/>
        <v>57460</v>
      </c>
      <c r="O48" s="40">
        <f t="shared" si="44"/>
        <v>603330</v>
      </c>
      <c r="P48" s="38">
        <f t="shared" si="45"/>
        <v>1005549.9999999999</v>
      </c>
      <c r="Q48" s="38">
        <f t="shared" si="37"/>
        <v>172380</v>
      </c>
      <c r="R48" s="38">
        <f t="shared" si="38"/>
        <v>57460</v>
      </c>
      <c r="S48" s="40">
        <f t="shared" si="39"/>
        <v>1235390</v>
      </c>
      <c r="T48" s="41">
        <f t="shared" si="40"/>
        <v>14942141.71255685</v>
      </c>
      <c r="U48" s="42"/>
      <c r="V48" s="68">
        <f t="shared" si="41"/>
        <v>14984531.71255685</v>
      </c>
      <c r="W48" s="69">
        <v>11000000</v>
      </c>
      <c r="X48" s="69"/>
      <c r="Y48" s="69">
        <f t="shared" si="42"/>
        <v>3381201.7125568502</v>
      </c>
      <c r="Z48" s="69">
        <f t="shared" si="43"/>
        <v>169060</v>
      </c>
    </row>
    <row r="49" spans="1:26" s="53" customFormat="1" ht="21.75" customHeight="1" x14ac:dyDescent="0.25">
      <c r="A49" s="29">
        <v>32</v>
      </c>
      <c r="B49" s="30" t="s">
        <v>157</v>
      </c>
      <c r="C49" s="31" t="s">
        <v>30</v>
      </c>
      <c r="D49" s="32">
        <f>F49+G49</f>
        <v>5746000</v>
      </c>
      <c r="E49" s="33">
        <v>26</v>
      </c>
      <c r="F49" s="34">
        <v>4773600</v>
      </c>
      <c r="G49" s="34">
        <v>972400</v>
      </c>
      <c r="H49" s="35">
        <v>5083000</v>
      </c>
      <c r="I49" s="35">
        <v>730000</v>
      </c>
      <c r="J49" s="35">
        <v>4519597.03</v>
      </c>
      <c r="K49" s="36">
        <f>F49+G49+H49+I49+J50</f>
        <v>11559000</v>
      </c>
      <c r="L49" s="37">
        <f t="shared" si="32"/>
        <v>459680</v>
      </c>
      <c r="M49" s="38">
        <f t="shared" si="33"/>
        <v>86190</v>
      </c>
      <c r="N49" s="39">
        <f t="shared" si="34"/>
        <v>57460</v>
      </c>
      <c r="O49" s="40">
        <f t="shared" si="44"/>
        <v>603330</v>
      </c>
      <c r="P49" s="38">
        <f t="shared" si="45"/>
        <v>1005549.9999999999</v>
      </c>
      <c r="Q49" s="38">
        <f t="shared" si="37"/>
        <v>172380</v>
      </c>
      <c r="R49" s="38">
        <f t="shared" si="38"/>
        <v>57460</v>
      </c>
      <c r="S49" s="40">
        <f t="shared" si="39"/>
        <v>1235390</v>
      </c>
      <c r="T49" s="41">
        <f t="shared" si="40"/>
        <v>10955670</v>
      </c>
      <c r="U49" s="42"/>
      <c r="V49" s="68">
        <f t="shared" si="41"/>
        <v>10829000</v>
      </c>
      <c r="W49" s="69">
        <v>11000000</v>
      </c>
      <c r="X49" s="69"/>
      <c r="Y49" s="69">
        <f t="shared" si="42"/>
        <v>0</v>
      </c>
      <c r="Z49" s="69">
        <f t="shared" si="43"/>
        <v>0</v>
      </c>
    </row>
    <row r="50" spans="1:26" s="26" customFormat="1" ht="21.75" customHeight="1" x14ac:dyDescent="0.25">
      <c r="A50" s="112" t="s">
        <v>38</v>
      </c>
      <c r="B50" s="113"/>
      <c r="C50" s="114"/>
      <c r="D50" s="51">
        <f>SUM(D51:D57)</f>
        <v>30183000</v>
      </c>
      <c r="E50" s="51">
        <f t="shared" ref="E50:Z50" si="46">SUM(E51:E57)</f>
        <v>130</v>
      </c>
      <c r="F50" s="51">
        <f t="shared" si="46"/>
        <v>24476200</v>
      </c>
      <c r="G50" s="51">
        <f t="shared" si="46"/>
        <v>5706800</v>
      </c>
      <c r="H50" s="51">
        <f t="shared" si="46"/>
        <v>18917600</v>
      </c>
      <c r="I50" s="51">
        <f>SUM(I51:I57)</f>
        <v>3650000</v>
      </c>
      <c r="J50" s="51">
        <f>SUM(J51:J58)</f>
        <v>0</v>
      </c>
      <c r="K50" s="51">
        <f t="shared" ref="K50" si="47">SUM(K51:K57)</f>
        <v>52750600</v>
      </c>
      <c r="L50" s="51">
        <f t="shared" si="46"/>
        <v>2414640</v>
      </c>
      <c r="M50" s="51">
        <f t="shared" si="46"/>
        <v>452745</v>
      </c>
      <c r="N50" s="51">
        <f t="shared" si="46"/>
        <v>301830</v>
      </c>
      <c r="O50" s="51">
        <f t="shared" si="46"/>
        <v>3169215</v>
      </c>
      <c r="P50" s="51">
        <f t="shared" si="46"/>
        <v>5282025</v>
      </c>
      <c r="Q50" s="51">
        <f t="shared" si="46"/>
        <v>905490</v>
      </c>
      <c r="R50" s="51">
        <f t="shared" si="46"/>
        <v>301830</v>
      </c>
      <c r="S50" s="51">
        <f t="shared" si="46"/>
        <v>6489345</v>
      </c>
      <c r="T50" s="51">
        <f t="shared" si="46"/>
        <v>49581385</v>
      </c>
      <c r="U50" s="51">
        <f t="shared" si="46"/>
        <v>0</v>
      </c>
      <c r="V50" s="51">
        <f t="shared" si="46"/>
        <v>49100600</v>
      </c>
      <c r="W50" s="51">
        <f t="shared" si="46"/>
        <v>55000000</v>
      </c>
      <c r="X50" s="51">
        <f t="shared" si="46"/>
        <v>0</v>
      </c>
      <c r="Y50" s="51">
        <f t="shared" si="46"/>
        <v>0</v>
      </c>
      <c r="Z50" s="51">
        <f t="shared" si="46"/>
        <v>0</v>
      </c>
    </row>
    <row r="51" spans="1:26" s="26" customFormat="1" ht="21.75" customHeight="1" x14ac:dyDescent="0.25">
      <c r="A51" s="29">
        <v>30</v>
      </c>
      <c r="B51" s="30" t="s">
        <v>42</v>
      </c>
      <c r="C51" s="31" t="s">
        <v>41</v>
      </c>
      <c r="D51" s="43">
        <f t="shared" ref="D51:D56" si="48">F51+G51</f>
        <v>5545400</v>
      </c>
      <c r="E51" s="33">
        <v>26</v>
      </c>
      <c r="F51" s="34">
        <v>4258600</v>
      </c>
      <c r="G51" s="34">
        <v>1286800</v>
      </c>
      <c r="H51" s="35">
        <v>3757000</v>
      </c>
      <c r="I51" s="35">
        <v>730000</v>
      </c>
      <c r="J51" s="35"/>
      <c r="K51" s="36">
        <f>F51+G51+H51+I51+J50</f>
        <v>10032400</v>
      </c>
      <c r="L51" s="37">
        <f t="shared" ref="L51:L56" si="49">D51*8%</f>
        <v>443632</v>
      </c>
      <c r="M51" s="38">
        <f t="shared" ref="M51:M56" si="50">D51*1.5%</f>
        <v>83181</v>
      </c>
      <c r="N51" s="39">
        <f t="shared" ref="N51:N56" si="51">D51*1%</f>
        <v>55454</v>
      </c>
      <c r="O51" s="40">
        <f t="shared" ref="O51:O56" si="52">L51+M51+N51</f>
        <v>582267</v>
      </c>
      <c r="P51" s="38">
        <f>D51*17.5%</f>
        <v>970444.99999999988</v>
      </c>
      <c r="Q51" s="38">
        <f>D51*3%</f>
        <v>166362</v>
      </c>
      <c r="R51" s="38">
        <f>D51*1%</f>
        <v>55454</v>
      </c>
      <c r="S51" s="40">
        <f t="shared" ref="S51:S56" si="53">P51+Q51+R51</f>
        <v>1192261</v>
      </c>
      <c r="T51" s="41">
        <f t="shared" si="27"/>
        <v>9450133</v>
      </c>
      <c r="U51" s="42"/>
      <c r="V51" s="68">
        <f t="shared" si="1"/>
        <v>9302400</v>
      </c>
      <c r="W51" s="69">
        <v>11000000</v>
      </c>
      <c r="X51" s="69"/>
      <c r="Y51" s="69">
        <f t="shared" si="28"/>
        <v>0</v>
      </c>
      <c r="Z51" s="69">
        <f t="shared" si="29"/>
        <v>0</v>
      </c>
    </row>
    <row r="52" spans="1:26" s="26" customFormat="1" ht="21.75" customHeight="1" x14ac:dyDescent="0.25">
      <c r="A52" s="29"/>
      <c r="B52" s="30" t="s">
        <v>79</v>
      </c>
      <c r="C52" s="31" t="s">
        <v>29</v>
      </c>
      <c r="D52" s="43"/>
      <c r="E52" s="33"/>
      <c r="F52" s="34"/>
      <c r="G52" s="34"/>
      <c r="H52" s="35"/>
      <c r="I52" s="35"/>
      <c r="J52" s="35"/>
      <c r="K52" s="36"/>
      <c r="L52" s="37"/>
      <c r="M52" s="38"/>
      <c r="N52" s="39"/>
      <c r="O52" s="40"/>
      <c r="P52" s="38"/>
      <c r="Q52" s="38"/>
      <c r="R52" s="38"/>
      <c r="S52" s="40"/>
      <c r="T52" s="41"/>
      <c r="U52" s="42"/>
      <c r="V52" s="68"/>
      <c r="W52" s="69"/>
      <c r="X52" s="69"/>
      <c r="Y52" s="69"/>
      <c r="Z52" s="69"/>
    </row>
    <row r="53" spans="1:26" s="14" customFormat="1" ht="21.75" customHeight="1" x14ac:dyDescent="0.25">
      <c r="A53" s="29"/>
      <c r="B53" s="30" t="s">
        <v>81</v>
      </c>
      <c r="C53" s="31" t="s">
        <v>41</v>
      </c>
      <c r="D53" s="43"/>
      <c r="E53" s="33"/>
      <c r="F53" s="34"/>
      <c r="G53" s="34"/>
      <c r="H53" s="35"/>
      <c r="I53" s="35"/>
      <c r="J53" s="35"/>
      <c r="K53" s="36"/>
      <c r="L53" s="37"/>
      <c r="M53" s="38"/>
      <c r="N53" s="39"/>
      <c r="O53" s="40"/>
      <c r="P53" s="38"/>
      <c r="Q53" s="38"/>
      <c r="R53" s="38"/>
      <c r="S53" s="40"/>
      <c r="T53" s="41"/>
      <c r="U53" s="42"/>
      <c r="V53" s="68"/>
      <c r="W53" s="69"/>
      <c r="X53" s="69"/>
      <c r="Y53" s="69">
        <f t="shared" si="28"/>
        <v>0</v>
      </c>
      <c r="Z53" s="69">
        <f t="shared" si="29"/>
        <v>0</v>
      </c>
    </row>
    <row r="54" spans="1:26" s="14" customFormat="1" ht="17.25" customHeight="1" x14ac:dyDescent="0.25">
      <c r="A54" s="62">
        <v>31</v>
      </c>
      <c r="B54" s="30" t="s">
        <v>105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>F54+G54+H54+I54+J54</f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 t="shared" ref="P54" si="54">D54*17.5%</f>
        <v>1102010</v>
      </c>
      <c r="Q54" s="38">
        <f t="shared" ref="Q54:Q56" si="55">D54*3%</f>
        <v>188916</v>
      </c>
      <c r="R54" s="38">
        <f t="shared" ref="R54:R56" si="56">D54*1%</f>
        <v>62972</v>
      </c>
      <c r="S54" s="40">
        <f t="shared" si="53"/>
        <v>1353898</v>
      </c>
      <c r="T54" s="41">
        <f t="shared" si="27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8"/>
        <v>0</v>
      </c>
      <c r="Z54" s="69">
        <f t="shared" si="29"/>
        <v>0</v>
      </c>
    </row>
    <row r="55" spans="1:26" s="14" customFormat="1" ht="17.25" customHeight="1" x14ac:dyDescent="0.25">
      <c r="A55" s="29">
        <v>32</v>
      </c>
      <c r="B55" s="64" t="s">
        <v>117</v>
      </c>
      <c r="C55" s="31" t="s">
        <v>40</v>
      </c>
      <c r="D55" s="43">
        <f t="shared" si="48"/>
        <v>6297200</v>
      </c>
      <c r="E55" s="33">
        <v>26</v>
      </c>
      <c r="F55" s="34">
        <v>5148000</v>
      </c>
      <c r="G55" s="34">
        <v>1149200</v>
      </c>
      <c r="H55" s="35">
        <v>3801200</v>
      </c>
      <c r="I55" s="35">
        <v>730000</v>
      </c>
      <c r="J55" s="35"/>
      <c r="K55" s="36">
        <f>F55+G55+H55+I55+J55</f>
        <v>10828400</v>
      </c>
      <c r="L55" s="37">
        <f t="shared" si="49"/>
        <v>503776</v>
      </c>
      <c r="M55" s="38">
        <f t="shared" si="50"/>
        <v>94458</v>
      </c>
      <c r="N55" s="39">
        <f t="shared" si="51"/>
        <v>62972</v>
      </c>
      <c r="O55" s="40">
        <f t="shared" si="52"/>
        <v>661206</v>
      </c>
      <c r="P55" s="38">
        <f>D55*17.5%</f>
        <v>1102010</v>
      </c>
      <c r="Q55" s="38">
        <f t="shared" si="55"/>
        <v>188916</v>
      </c>
      <c r="R55" s="38">
        <f t="shared" si="56"/>
        <v>62972</v>
      </c>
      <c r="S55" s="40">
        <f t="shared" si="53"/>
        <v>1353898</v>
      </c>
      <c r="T55" s="41">
        <f t="shared" si="27"/>
        <v>10167194</v>
      </c>
      <c r="U55" s="42"/>
      <c r="V55" s="68">
        <f t="shared" si="1"/>
        <v>10098400</v>
      </c>
      <c r="W55" s="69">
        <v>11000000</v>
      </c>
      <c r="X55" s="69"/>
      <c r="Y55" s="69">
        <f t="shared" si="28"/>
        <v>0</v>
      </c>
      <c r="Z55" s="69">
        <f t="shared" si="29"/>
        <v>0</v>
      </c>
    </row>
    <row r="56" spans="1:26" s="14" customFormat="1" ht="17.25" customHeight="1" x14ac:dyDescent="0.25">
      <c r="A56" s="62">
        <v>33</v>
      </c>
      <c r="B56" s="30" t="s">
        <v>121</v>
      </c>
      <c r="C56" s="31" t="s">
        <v>40</v>
      </c>
      <c r="D56" s="43">
        <f t="shared" si="48"/>
        <v>6297200</v>
      </c>
      <c r="E56" s="33">
        <v>26</v>
      </c>
      <c r="F56" s="34">
        <v>5148000</v>
      </c>
      <c r="G56" s="34">
        <v>1149200</v>
      </c>
      <c r="H56" s="35">
        <v>3801200</v>
      </c>
      <c r="I56" s="35">
        <v>730000</v>
      </c>
      <c r="J56" s="35"/>
      <c r="K56" s="36">
        <f>F56+G56+H56+I56+J56</f>
        <v>10828400</v>
      </c>
      <c r="L56" s="37">
        <f t="shared" si="49"/>
        <v>503776</v>
      </c>
      <c r="M56" s="38">
        <f t="shared" si="50"/>
        <v>94458</v>
      </c>
      <c r="N56" s="39">
        <f t="shared" si="51"/>
        <v>62972</v>
      </c>
      <c r="O56" s="40">
        <f t="shared" si="52"/>
        <v>661206</v>
      </c>
      <c r="P56" s="38">
        <f>D56*17.5%</f>
        <v>1102010</v>
      </c>
      <c r="Q56" s="38">
        <f t="shared" si="55"/>
        <v>188916</v>
      </c>
      <c r="R56" s="38">
        <f t="shared" si="56"/>
        <v>62972</v>
      </c>
      <c r="S56" s="40">
        <f t="shared" si="53"/>
        <v>1353898</v>
      </c>
      <c r="T56" s="41">
        <f t="shared" si="27"/>
        <v>10167194</v>
      </c>
      <c r="U56" s="42"/>
      <c r="V56" s="68">
        <f t="shared" si="1"/>
        <v>10098400</v>
      </c>
      <c r="W56" s="69">
        <v>11000000</v>
      </c>
      <c r="X56" s="69"/>
      <c r="Y56" s="69">
        <f t="shared" si="28"/>
        <v>0</v>
      </c>
      <c r="Z56" s="69">
        <f t="shared" si="29"/>
        <v>0</v>
      </c>
    </row>
    <row r="57" spans="1:26" s="14" customFormat="1" ht="21.75" customHeight="1" x14ac:dyDescent="0.25">
      <c r="A57" s="29">
        <v>34</v>
      </c>
      <c r="B57" s="30" t="s">
        <v>135</v>
      </c>
      <c r="C57" s="31" t="s">
        <v>41</v>
      </c>
      <c r="D57" s="43">
        <f>F57+G57</f>
        <v>5746000</v>
      </c>
      <c r="E57" s="33">
        <v>26</v>
      </c>
      <c r="F57" s="34">
        <v>4773600</v>
      </c>
      <c r="G57" s="34">
        <v>972400</v>
      </c>
      <c r="H57" s="35">
        <v>3757000</v>
      </c>
      <c r="I57" s="35">
        <v>730000</v>
      </c>
      <c r="J57" s="35"/>
      <c r="K57" s="36">
        <f>F57+G57+H57+I57</f>
        <v>10233000</v>
      </c>
      <c r="L57" s="37">
        <f>D57*8%</f>
        <v>459680</v>
      </c>
      <c r="M57" s="38">
        <f>D57*1.5%</f>
        <v>86190</v>
      </c>
      <c r="N57" s="39">
        <f>D57*1%</f>
        <v>57460</v>
      </c>
      <c r="O57" s="40">
        <f>L57+M57+N57</f>
        <v>603330</v>
      </c>
      <c r="P57" s="38">
        <f>D57*17.5%</f>
        <v>1005549.9999999999</v>
      </c>
      <c r="Q57" s="38">
        <f>D57*3%</f>
        <v>172380</v>
      </c>
      <c r="R57" s="38">
        <f>D57*1%</f>
        <v>57460</v>
      </c>
      <c r="S57" s="40">
        <f>P57+Q57+R57</f>
        <v>1235390</v>
      </c>
      <c r="T57" s="41">
        <f t="shared" si="27"/>
        <v>9629670</v>
      </c>
      <c r="U57" s="42"/>
      <c r="V57" s="68">
        <f>K57-I57</f>
        <v>9503000</v>
      </c>
      <c r="W57" s="69">
        <v>11000000</v>
      </c>
      <c r="X57" s="69"/>
      <c r="Y57" s="69">
        <f>MAX(V57-O57-W57-X57,0)</f>
        <v>0</v>
      </c>
      <c r="Z57" s="69">
        <f>ROUND(IF(Y57&gt;80000000,((Y57-80000000)*0.35+18150000),IF(AND(Y57&gt;52000000,Y57&lt;=80000000),((Y57-52000000)*0.3+9750000),IF(AND(Y57&gt;32000000,Y57&lt;=52000000),((Y57-32000000)*0.25+4750000),IF(AND(Y57&gt;18000000,Y57&lt;=32000000),((Y57-18000000)*0.2+1950000),IF(AND(Y57&gt;10000000,Y57&lt;=18000000),((Y57-10000000)*0.15+750000),IF(AND(Y57&gt;5000000,Y57&lt;=10000000),((Y57-5000000)*0.1+250000),(Y57*0.05))))))),0)</f>
        <v>0</v>
      </c>
    </row>
    <row r="58" spans="1:26" s="14" customFormat="1" ht="21.75" customHeight="1" x14ac:dyDescent="0.25">
      <c r="A58" s="62">
        <v>35</v>
      </c>
      <c r="B58" s="64" t="s">
        <v>154</v>
      </c>
      <c r="C58" s="31" t="s">
        <v>155</v>
      </c>
      <c r="D58" s="32"/>
      <c r="E58" s="33"/>
      <c r="F58" s="34"/>
      <c r="G58" s="34"/>
      <c r="H58" s="35"/>
      <c r="I58" s="35"/>
      <c r="J58" s="35"/>
      <c r="K58" s="36"/>
      <c r="L58" s="37"/>
      <c r="M58" s="38"/>
      <c r="N58" s="39"/>
      <c r="O58" s="40"/>
      <c r="P58" s="38"/>
      <c r="Q58" s="38"/>
      <c r="R58" s="38"/>
      <c r="S58" s="40"/>
      <c r="T58" s="41"/>
      <c r="U58" s="42"/>
      <c r="V58" s="68"/>
      <c r="W58" s="69"/>
      <c r="X58" s="69"/>
      <c r="Y58" s="69"/>
      <c r="Z58" s="69">
        <f t="shared" ref="Z58" si="57">ROUND(IF(Y58&gt;80000000,((Y58-80000000)*0.35+18150000),IF(AND(Y58&gt;52000000,Y58&lt;=80000000),((Y58-52000000)*0.3+9750000),IF(AND(Y58&gt;32000000,Y58&lt;=52000000),((Y58-32000000)*0.25+4750000),IF(AND(Y58&gt;18000000,Y58&lt;=32000000),((Y58-18000000)*0.2+1950000),IF(AND(Y58&gt;10000000,Y58&lt;=18000000),((Y58-10000000)*0.15+750000),IF(AND(Y58&gt;5000000,Y58&lt;=10000000),((Y58-5000000)*0.1+250000),(Y58*0.05))))))),0)</f>
        <v>0</v>
      </c>
    </row>
    <row r="59" spans="1:26" s="14" customFormat="1" ht="19.5" customHeight="1" x14ac:dyDescent="0.25">
      <c r="A59" s="115" t="s">
        <v>43</v>
      </c>
      <c r="B59" s="116"/>
      <c r="C59" s="46"/>
      <c r="D59" s="47">
        <f>D11+D13+D17+D50</f>
        <v>196677000</v>
      </c>
      <c r="E59" s="47">
        <f t="shared" ref="E59:Z59" si="58">E11+E13+E17+E50</f>
        <v>754</v>
      </c>
      <c r="F59" s="47">
        <f t="shared" si="58"/>
        <v>163024600</v>
      </c>
      <c r="G59" s="47">
        <f t="shared" si="58"/>
        <v>33652400</v>
      </c>
      <c r="H59" s="47">
        <f t="shared" si="58"/>
        <v>117041600</v>
      </c>
      <c r="I59" s="47">
        <f t="shared" si="58"/>
        <v>20440000</v>
      </c>
      <c r="J59" s="47">
        <f>J11+J13+J17+J50</f>
        <v>109897531.84077697</v>
      </c>
      <c r="K59" s="47">
        <f t="shared" si="58"/>
        <v>433150730.35577697</v>
      </c>
      <c r="L59" s="47">
        <f t="shared" si="58"/>
        <v>15734160</v>
      </c>
      <c r="M59" s="47">
        <f t="shared" si="58"/>
        <v>2950155</v>
      </c>
      <c r="N59" s="47">
        <f t="shared" si="58"/>
        <v>1966770</v>
      </c>
      <c r="O59" s="47">
        <f t="shared" si="58"/>
        <v>20651085</v>
      </c>
      <c r="P59" s="47">
        <f t="shared" si="58"/>
        <v>34418475</v>
      </c>
      <c r="Q59" s="47">
        <f t="shared" si="58"/>
        <v>5900310</v>
      </c>
      <c r="R59" s="47">
        <f t="shared" si="58"/>
        <v>1966770</v>
      </c>
      <c r="S59" s="47">
        <f t="shared" si="58"/>
        <v>42285555</v>
      </c>
      <c r="T59" s="47">
        <f t="shared" si="58"/>
        <v>410162453.35577691</v>
      </c>
      <c r="U59" s="47">
        <f t="shared" si="58"/>
        <v>0</v>
      </c>
      <c r="V59" s="47">
        <f t="shared" si="58"/>
        <v>412710730.35577691</v>
      </c>
      <c r="W59" s="47">
        <f t="shared" si="58"/>
        <v>352000000</v>
      </c>
      <c r="X59" s="47">
        <f t="shared" si="58"/>
        <v>92400000</v>
      </c>
      <c r="Y59" s="47">
        <f t="shared" si="58"/>
        <v>61084106.000397958</v>
      </c>
      <c r="Z59" s="47">
        <f t="shared" si="58"/>
        <v>3719538</v>
      </c>
    </row>
    <row r="60" spans="1:26" s="17" customFormat="1" ht="19.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L60" s="16"/>
      <c r="M60" s="16"/>
      <c r="N60" s="104" t="s">
        <v>145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0" t="s">
        <v>44</v>
      </c>
      <c r="B61" s="16"/>
      <c r="C61" s="16"/>
      <c r="D61" s="16"/>
      <c r="E61" s="10"/>
      <c r="F61" s="16"/>
      <c r="G61" s="10" t="s">
        <v>45</v>
      </c>
      <c r="H61" s="16"/>
      <c r="I61" s="16"/>
      <c r="J61" s="16"/>
      <c r="K61" s="16"/>
      <c r="M61" s="10"/>
      <c r="N61" s="117" t="s">
        <v>46</v>
      </c>
      <c r="O61" s="117"/>
      <c r="P61" s="117"/>
      <c r="Q61" s="117"/>
      <c r="R61" s="117"/>
      <c r="S61" s="117"/>
      <c r="T61" s="117"/>
      <c r="U61" s="16"/>
      <c r="W61" s="70"/>
      <c r="X61" s="70"/>
      <c r="Y61" s="70"/>
      <c r="Z61" s="70"/>
    </row>
    <row r="62" spans="1:26" s="17" customFormat="1" ht="19.5" customHeight="1" x14ac:dyDescent="0.25">
      <c r="A62" s="11" t="s">
        <v>47</v>
      </c>
      <c r="B62" s="16"/>
      <c r="C62" s="16"/>
      <c r="D62" s="11"/>
      <c r="E62" s="11"/>
      <c r="F62" s="11"/>
      <c r="G62" s="11" t="s">
        <v>48</v>
      </c>
      <c r="H62" s="11"/>
      <c r="I62" s="16"/>
      <c r="J62" s="16"/>
      <c r="K62" s="16"/>
      <c r="L62" s="16"/>
      <c r="M62" s="16"/>
      <c r="N62" s="104" t="s">
        <v>47</v>
      </c>
      <c r="O62" s="104"/>
      <c r="P62" s="104"/>
      <c r="Q62" s="104"/>
      <c r="R62" s="104"/>
      <c r="S62" s="104"/>
      <c r="T62" s="104"/>
      <c r="U62" s="16"/>
      <c r="W62" s="70"/>
      <c r="X62" s="70"/>
      <c r="Y62" s="70"/>
      <c r="Z62" s="70"/>
    </row>
    <row r="63" spans="1:26" s="17" customFormat="1" ht="19.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"/>
      <c r="U63" s="16"/>
      <c r="W63" s="70"/>
      <c r="X63" s="70"/>
      <c r="Y63" s="70"/>
      <c r="Z63" s="70"/>
    </row>
    <row r="64" spans="1:26" s="17" customFormat="1" ht="19.5" customHeight="1" x14ac:dyDescent="0.25">
      <c r="A64" s="16"/>
      <c r="B64" s="16"/>
      <c r="C64" s="16"/>
      <c r="D64" s="16"/>
      <c r="E64" s="16"/>
      <c r="F64" s="16"/>
      <c r="G64" s="16"/>
      <c r="H64" s="16"/>
      <c r="I64" s="15"/>
      <c r="J64" s="15"/>
      <c r="K64" s="16"/>
      <c r="L64" s="16"/>
      <c r="M64" s="16"/>
      <c r="N64" s="16"/>
      <c r="O64" s="16"/>
      <c r="P64" s="16"/>
      <c r="Q64" s="16"/>
      <c r="R64" s="16"/>
      <c r="S64" s="16"/>
      <c r="T64" s="18"/>
      <c r="U64" s="16"/>
      <c r="W64" s="71"/>
      <c r="X64" s="71"/>
      <c r="Y64" s="71"/>
      <c r="Z64" s="71"/>
    </row>
    <row r="65" spans="1:26" ht="19.5" customHeight="1" x14ac:dyDescent="0.25">
      <c r="A65" s="16"/>
      <c r="B65" s="16"/>
      <c r="C65" s="16"/>
      <c r="D65" s="16"/>
      <c r="E65" s="16"/>
      <c r="F65" s="19"/>
      <c r="G65" s="16"/>
      <c r="H65" s="16"/>
      <c r="I65" s="16"/>
      <c r="J65" s="16"/>
      <c r="K65" s="18"/>
      <c r="L65" s="20"/>
      <c r="M65" s="21"/>
      <c r="O65" s="16"/>
      <c r="P65" s="16"/>
      <c r="Q65" s="16"/>
      <c r="R65" s="16"/>
      <c r="S65" s="16"/>
      <c r="T65" s="16"/>
      <c r="U65" s="12"/>
      <c r="W65" s="17"/>
      <c r="X65" s="17"/>
      <c r="Y65" s="17"/>
      <c r="Z65" s="17"/>
    </row>
    <row r="66" spans="1:26" ht="17.25" customHeight="1" x14ac:dyDescent="0.25">
      <c r="K66" s="22"/>
      <c r="L66" s="23"/>
      <c r="M66" s="24"/>
      <c r="W66" s="17"/>
      <c r="X66" s="17"/>
      <c r="Y66" s="17"/>
      <c r="Z66" s="17"/>
    </row>
    <row r="67" spans="1:26" x14ac:dyDescent="0.25">
      <c r="K67" s="22"/>
      <c r="W67" s="17"/>
      <c r="X67" s="17"/>
      <c r="Y67" s="17"/>
      <c r="Z67" s="17"/>
    </row>
    <row r="68" spans="1:26" x14ac:dyDescent="0.25">
      <c r="I68" s="25"/>
      <c r="J68" s="25"/>
      <c r="W68" s="17"/>
      <c r="X68" s="17"/>
      <c r="Y68" s="17"/>
      <c r="Z68" s="17"/>
    </row>
    <row r="69" spans="1:26" x14ac:dyDescent="0.25">
      <c r="D69" s="23"/>
      <c r="F69" s="22"/>
      <c r="G69" s="23"/>
      <c r="W69" s="17"/>
      <c r="X69" s="17"/>
      <c r="Y69" s="17"/>
      <c r="Z69" s="17"/>
    </row>
    <row r="70" spans="1:26" x14ac:dyDescent="0.25">
      <c r="F70" s="27"/>
    </row>
    <row r="72" spans="1:26" x14ac:dyDescent="0.25">
      <c r="N72" s="23"/>
    </row>
  </sheetData>
  <mergeCells count="28"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F8:F9"/>
    <mergeCell ref="G8:I8"/>
    <mergeCell ref="X8:X9"/>
    <mergeCell ref="Y8:Y9"/>
    <mergeCell ref="Z8:Z9"/>
    <mergeCell ref="V8:V9"/>
    <mergeCell ref="J8:J9"/>
    <mergeCell ref="A59:B59"/>
    <mergeCell ref="N60:T60"/>
    <mergeCell ref="N61:T61"/>
    <mergeCell ref="N62:T62"/>
    <mergeCell ref="W8:W9"/>
    <mergeCell ref="A13:C13"/>
    <mergeCell ref="A11:C11"/>
    <mergeCell ref="A17:C17"/>
    <mergeCell ref="A50:C50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opLeftCell="A16" workbookViewId="0">
      <selection activeCell="A25" sqref="A25:XFD25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140625" style="13" customWidth="1"/>
    <col min="4" max="4" width="12.42578125" style="13" customWidth="1"/>
    <col min="5" max="5" width="12" style="13" bestFit="1" customWidth="1"/>
    <col min="6" max="6" width="12" style="13" customWidth="1"/>
    <col min="7" max="14" width="11.7109375" style="13" bestFit="1" customWidth="1"/>
    <col min="15" max="15" width="12" style="13" bestFit="1" customWidth="1"/>
    <col min="16" max="16" width="12.140625" style="67" customWidth="1"/>
    <col min="17" max="17" width="13.5703125" style="13" bestFit="1" customWidth="1"/>
    <col min="18" max="18" width="6" style="13" bestFit="1" customWidth="1"/>
    <col min="19" max="21" width="13.5703125" style="13" bestFit="1" customWidth="1"/>
    <col min="22" max="22" width="12" style="13" bestFit="1" customWidth="1"/>
    <col min="23" max="23" width="10.7109375" style="13" customWidth="1"/>
    <col min="24" max="24" width="12" style="13" bestFit="1" customWidth="1"/>
    <col min="25" max="25" width="11.140625" style="13" customWidth="1"/>
    <col min="26" max="16384" width="9.140625" style="13"/>
  </cols>
  <sheetData>
    <row r="1" spans="1:25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66"/>
      <c r="Q1" s="12"/>
      <c r="R1" s="12"/>
    </row>
    <row r="2" spans="1:25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66"/>
      <c r="Q2" s="12"/>
      <c r="R2" s="12"/>
    </row>
    <row r="3" spans="1:25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66"/>
      <c r="Q3" s="12"/>
      <c r="R3" s="12"/>
    </row>
    <row r="4" spans="1:25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66"/>
      <c r="Q4" s="12"/>
      <c r="R4" s="12"/>
    </row>
    <row r="5" spans="1:25" ht="20.25" x14ac:dyDescent="0.25">
      <c r="A5" s="105" t="s">
        <v>63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5" ht="18.75" x14ac:dyDescent="0.25">
      <c r="A6" s="106" t="s">
        <v>126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5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4"/>
      <c r="R7" s="12"/>
    </row>
    <row r="8" spans="1:25" s="14" customFormat="1" ht="12.75" customHeight="1" x14ac:dyDescent="0.25">
      <c r="A8" s="101" t="s">
        <v>3</v>
      </c>
      <c r="B8" s="101" t="s">
        <v>4</v>
      </c>
      <c r="C8" s="101" t="s">
        <v>5</v>
      </c>
      <c r="D8" s="109" t="s">
        <v>127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7" t="s">
        <v>11</v>
      </c>
      <c r="Q8" s="110" t="s">
        <v>76</v>
      </c>
      <c r="R8" s="121" t="s">
        <v>14</v>
      </c>
      <c r="S8" s="103" t="s">
        <v>110</v>
      </c>
      <c r="T8" s="121" t="s">
        <v>113</v>
      </c>
      <c r="U8" s="121" t="s">
        <v>116</v>
      </c>
      <c r="V8" s="121" t="s">
        <v>125</v>
      </c>
      <c r="W8" s="101" t="s">
        <v>124</v>
      </c>
      <c r="X8" s="121" t="s">
        <v>129</v>
      </c>
      <c r="Y8" s="101" t="s">
        <v>130</v>
      </c>
    </row>
    <row r="9" spans="1:25" s="57" customFormat="1" ht="12.75" x14ac:dyDescent="0.2">
      <c r="A9" s="102"/>
      <c r="B9" s="102"/>
      <c r="C9" s="10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07"/>
      <c r="Q9" s="124"/>
      <c r="R9" s="123"/>
      <c r="S9" s="103"/>
      <c r="T9" s="122"/>
      <c r="U9" s="123"/>
      <c r="V9" s="122"/>
      <c r="W9" s="108"/>
      <c r="X9" s="122"/>
      <c r="Y9" s="108"/>
    </row>
    <row r="10" spans="1:25" s="14" customFormat="1" ht="12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65">
        <v>16</v>
      </c>
      <c r="Q10" s="5">
        <v>17</v>
      </c>
      <c r="R10" s="6">
        <v>18</v>
      </c>
      <c r="S10" s="6">
        <v>20</v>
      </c>
      <c r="T10" s="6">
        <v>20</v>
      </c>
      <c r="U10" s="6"/>
      <c r="V10" s="6">
        <v>20</v>
      </c>
      <c r="W10" s="6">
        <v>20</v>
      </c>
      <c r="X10" s="6">
        <v>20</v>
      </c>
      <c r="Y10" s="6">
        <v>20</v>
      </c>
    </row>
    <row r="11" spans="1:25" s="55" customFormat="1" ht="21.75" customHeight="1" x14ac:dyDescent="0.25">
      <c r="A11" s="118" t="s">
        <v>96</v>
      </c>
      <c r="B11" s="119"/>
      <c r="C11" s="120"/>
      <c r="D11" s="50">
        <f t="shared" ref="D11:Q11" si="0">SUM(D12:D12)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16588152</v>
      </c>
      <c r="Q11" s="50">
        <f t="shared" si="0"/>
        <v>0</v>
      </c>
      <c r="R11" s="54"/>
      <c r="S11" s="51">
        <f t="shared" ref="S11:Y11" si="1">SUM(S12:S12)</f>
        <v>0</v>
      </c>
      <c r="T11" s="51">
        <f t="shared" si="1"/>
        <v>0</v>
      </c>
      <c r="U11" s="51">
        <f t="shared" si="1"/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</row>
    <row r="12" spans="1:25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'T1'!K12</f>
        <v>0</v>
      </c>
      <c r="E12" s="58">
        <f>'T2'!K12</f>
        <v>0</v>
      </c>
      <c r="F12" s="34">
        <f>'T3'!K12</f>
        <v>0</v>
      </c>
      <c r="G12" s="34">
        <f>'T4'!K12</f>
        <v>0</v>
      </c>
      <c r="H12" s="35">
        <f>'T5'!K12</f>
        <v>0</v>
      </c>
      <c r="I12" s="35">
        <f>'T6'!K12</f>
        <v>0</v>
      </c>
      <c r="J12" s="34">
        <f>'T7'!J12</f>
        <v>0</v>
      </c>
      <c r="K12" s="37">
        <f>'T8'!J12</f>
        <v>0</v>
      </c>
      <c r="L12" s="38">
        <f>'T9'!J12</f>
        <v>0</v>
      </c>
      <c r="M12" s="39">
        <f>'T10'!J12</f>
        <v>0</v>
      </c>
      <c r="N12" s="38">
        <f>'T11'!J12</f>
        <v>0</v>
      </c>
      <c r="O12" s="38">
        <f>'T12'!J12</f>
        <v>0</v>
      </c>
      <c r="P12" s="40">
        <f>'T1'!O12+'T2'!O12+'T3'!O12+'T4'!O12+'T5'!O12+'T6'!O12+'T7'!O12+'T8'!O12+'T9'!O12+'T10'!O12+'T11'!O12+'T12'!O12</f>
        <v>16588152</v>
      </c>
      <c r="Q12" s="61">
        <v>0</v>
      </c>
      <c r="R12" s="42"/>
      <c r="S12" s="68">
        <f>H12-F12</f>
        <v>0</v>
      </c>
      <c r="T12" s="69"/>
      <c r="U12" s="69"/>
      <c r="V12" s="69"/>
      <c r="W12" s="69"/>
      <c r="X12" s="69"/>
      <c r="Y12" s="69"/>
    </row>
    <row r="13" spans="1:25" s="55" customFormat="1" ht="21.75" customHeight="1" x14ac:dyDescent="0.25">
      <c r="A13" s="118" t="s">
        <v>23</v>
      </c>
      <c r="B13" s="119"/>
      <c r="C13" s="120"/>
      <c r="D13" s="50">
        <f>SUM(D14)</f>
        <v>16733800</v>
      </c>
      <c r="E13" s="50">
        <f t="shared" ref="E13:X13" si="2">SUM(E14)</f>
        <v>16733800</v>
      </c>
      <c r="F13" s="50">
        <f t="shared" si="2"/>
        <v>16733800</v>
      </c>
      <c r="G13" s="50">
        <f t="shared" si="2"/>
        <v>16733800</v>
      </c>
      <c r="H13" s="50">
        <f t="shared" si="2"/>
        <v>16733800</v>
      </c>
      <c r="I13" s="50">
        <f t="shared" si="2"/>
        <v>16733800</v>
      </c>
      <c r="J13" s="50">
        <f t="shared" si="2"/>
        <v>16733800</v>
      </c>
      <c r="K13" s="50">
        <f t="shared" si="2"/>
        <v>16733800</v>
      </c>
      <c r="L13" s="50">
        <f t="shared" si="2"/>
        <v>16733800</v>
      </c>
      <c r="M13" s="50">
        <f t="shared" si="2"/>
        <v>16733800</v>
      </c>
      <c r="N13" s="50">
        <f t="shared" si="2"/>
        <v>16733800</v>
      </c>
      <c r="O13" s="50">
        <f t="shared" si="2"/>
        <v>24643094.802500002</v>
      </c>
      <c r="P13" s="50">
        <f t="shared" si="2"/>
        <v>15208200</v>
      </c>
      <c r="Q13" s="50">
        <f t="shared" si="2"/>
        <v>193506694.80250001</v>
      </c>
      <c r="R13" s="50">
        <f t="shared" si="2"/>
        <v>0</v>
      </c>
      <c r="S13" s="50">
        <f t="shared" si="2"/>
        <v>199954894.80250001</v>
      </c>
      <c r="T13" s="50">
        <f t="shared" si="2"/>
        <v>132000000</v>
      </c>
      <c r="U13" s="50">
        <f t="shared" si="2"/>
        <v>0</v>
      </c>
      <c r="V13" s="50">
        <f t="shared" si="2"/>
        <v>52746694.802500002</v>
      </c>
      <c r="W13" s="50">
        <f t="shared" si="2"/>
        <v>3051915</v>
      </c>
      <c r="X13" s="50">
        <f t="shared" si="2"/>
        <v>52746694.80250001</v>
      </c>
      <c r="Y13" s="50">
        <f>SUM(Y14)</f>
        <v>2637335</v>
      </c>
    </row>
    <row r="14" spans="1:25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'T1'!K14</f>
        <v>16733800</v>
      </c>
      <c r="E14" s="58">
        <f>'T2'!K14</f>
        <v>16733800</v>
      </c>
      <c r="F14" s="34">
        <f>'T3'!K14</f>
        <v>16733800</v>
      </c>
      <c r="G14" s="34">
        <f>'T4'!K14</f>
        <v>16733800</v>
      </c>
      <c r="H14" s="35">
        <f>'T5'!K14</f>
        <v>16733800</v>
      </c>
      <c r="I14" s="35">
        <f>'T6'!K14</f>
        <v>16733800</v>
      </c>
      <c r="J14" s="34">
        <f>'T7'!K14</f>
        <v>16733800</v>
      </c>
      <c r="K14" s="37">
        <f>'T8'!K14</f>
        <v>16733800</v>
      </c>
      <c r="L14" s="38">
        <f>'T9'!K14</f>
        <v>16733800</v>
      </c>
      <c r="M14" s="39">
        <f>'T10'!K14</f>
        <v>16733800</v>
      </c>
      <c r="N14" s="38">
        <f>'T11'!K14</f>
        <v>16733800</v>
      </c>
      <c r="O14" s="38">
        <f>'T12'!K14</f>
        <v>24643094.802500002</v>
      </c>
      <c r="P14" s="40">
        <f>'T1'!O14+'T2'!O14+'T3'!O14+'T4'!O14+'T5'!O14+'T6'!O14+'T7'!O14+'T8'!O14+'T9'!O14+'T10'!O14+'T11'!O14+'T12'!O14</f>
        <v>15208200</v>
      </c>
      <c r="Q14" s="61">
        <f>SUM(D14:O14)-P14</f>
        <v>193506694.80250001</v>
      </c>
      <c r="R14" s="42"/>
      <c r="S14" s="68">
        <f>'T1'!V14+'T2'!V14+'T3'!V14+'T4'!V14+'T5'!V14+'T6'!V14+'T7'!V14+'T8'!V14+'T9'!V14+'T10'!V14+'T11'!V14+'T12'!V14</f>
        <v>199954894.80250001</v>
      </c>
      <c r="T14" s="69">
        <f>'T1'!W14+'T2'!W14+'T3'!W14+'T4'!W14+'T5'!W14+'T6'!W14+'T7'!W14+'T8'!W14+'T9'!W14+'T10'!W14+'T11'!W14+'T12'!W14</f>
        <v>132000000</v>
      </c>
      <c r="U14" s="69">
        <f>'T1'!X14+'T2'!X14+'T3'!X14+'T4'!X14+'T5'!X14+'T6'!X14+'T7'!X14+'T8'!X14+'T9'!X14+'T10'!X14+'T11'!X14+'T12'!X14</f>
        <v>0</v>
      </c>
      <c r="V14" s="69">
        <f>'T1'!Y14+'T2'!Y14+'T3'!Y14+'T4'!Y14+'T5'!Y14+'T6'!Y14+'T7'!Y14+'T8'!Y14+'T9'!Y14+'T10'!Y14+'T11'!Y14+'T12'!Y14</f>
        <v>52746694.802500002</v>
      </c>
      <c r="W14" s="69">
        <f>'T1'!Z14+'T2'!Z14+'T3'!Z14+'T4'!Z14+'T5'!Z14+'T6'!Z14+'T7'!Z14+'T8'!Z14+'T9'!Z14+'T10'!Z14+'T11'!Z14+'T12'!Z14</f>
        <v>3051915</v>
      </c>
      <c r="X14" s="69">
        <f>MAX(S14-T14-U14-P14,0)</f>
        <v>52746694.80250001</v>
      </c>
      <c r="Y14" s="69">
        <f>ROUND(IF(X14&gt;960000000,((X14-960000000)*0.35+217800000),IF(AND(X14&gt;624000000,X14&lt;=624000000),((X14-624000000)*0.3+1170000000),IF(AND(X14&gt;384000000,X14&lt;=624000000),((X14-32000000)*0.25+4750000),IF(AND(X14&gt;216000000,X14&lt;=384000000),((X14-216000000)*0.2+23400000),IF(AND(X14&gt;120000000,X14&lt;=216000000),((X14-120000000)*0.15+9000000),IF(AND(X14&gt;60000000,X14&lt;=120000000),((X14-60000000)*0.1+3000000),(X14*0.05))))))),0)</f>
        <v>2637335</v>
      </c>
    </row>
    <row r="15" spans="1:25" s="53" customFormat="1" ht="21.75" customHeight="1" x14ac:dyDescent="0.25">
      <c r="A15" s="112" t="s">
        <v>28</v>
      </c>
      <c r="B15" s="113"/>
      <c r="C15" s="114"/>
      <c r="D15" s="50" t="e">
        <f>SUM(D16:D42)</f>
        <v>#REF!</v>
      </c>
      <c r="E15" s="50" t="e">
        <f t="shared" ref="E15:X15" si="3">SUM(E16:E42)</f>
        <v>#REF!</v>
      </c>
      <c r="F15" s="50" t="e">
        <f t="shared" si="3"/>
        <v>#REF!</v>
      </c>
      <c r="G15" s="50" t="e">
        <f t="shared" si="3"/>
        <v>#REF!</v>
      </c>
      <c r="H15" s="50" t="e">
        <f t="shared" si="3"/>
        <v>#REF!</v>
      </c>
      <c r="I15" s="50" t="e">
        <f t="shared" si="3"/>
        <v>#REF!</v>
      </c>
      <c r="J15" s="50" t="e">
        <f t="shared" si="3"/>
        <v>#REF!</v>
      </c>
      <c r="K15" s="50" t="e">
        <f t="shared" si="3"/>
        <v>#REF!</v>
      </c>
      <c r="L15" s="50" t="e">
        <f t="shared" si="3"/>
        <v>#REF!</v>
      </c>
      <c r="M15" s="50" t="e">
        <f t="shared" si="3"/>
        <v>#REF!</v>
      </c>
      <c r="N15" s="50" t="e">
        <f t="shared" si="3"/>
        <v>#REF!</v>
      </c>
      <c r="O15" s="50" t="e">
        <f t="shared" si="3"/>
        <v>#REF!</v>
      </c>
      <c r="P15" s="50" t="e">
        <f t="shared" si="3"/>
        <v>#REF!</v>
      </c>
      <c r="Q15" s="50" t="e">
        <f t="shared" si="3"/>
        <v>#REF!</v>
      </c>
      <c r="R15" s="50">
        <f t="shared" si="3"/>
        <v>0</v>
      </c>
      <c r="S15" s="50" t="e">
        <f t="shared" si="3"/>
        <v>#REF!</v>
      </c>
      <c r="T15" s="50" t="e">
        <f t="shared" si="3"/>
        <v>#REF!</v>
      </c>
      <c r="U15" s="50" t="e">
        <f t="shared" si="3"/>
        <v>#REF!</v>
      </c>
      <c r="V15" s="50" t="e">
        <f t="shared" si="3"/>
        <v>#REF!</v>
      </c>
      <c r="W15" s="50" t="e">
        <f t="shared" si="3"/>
        <v>#REF!</v>
      </c>
      <c r="X15" s="50" t="e">
        <f t="shared" si="3"/>
        <v>#REF!</v>
      </c>
      <c r="Y15" s="50" t="e">
        <f>SUM(Y16:Y42)</f>
        <v>#REF!</v>
      </c>
    </row>
    <row r="16" spans="1:25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'T1'!K18</f>
        <v>18161324.195</v>
      </c>
      <c r="E16" s="58">
        <f>'T2'!K18</f>
        <v>18387883.248</v>
      </c>
      <c r="F16" s="34">
        <f>'T3'!K18</f>
        <v>16378508.384</v>
      </c>
      <c r="G16" s="34">
        <f>'T4'!K18</f>
        <v>13922871.9595</v>
      </c>
      <c r="H16" s="35">
        <f>'T5'!K18</f>
        <v>15021527.197775001</v>
      </c>
      <c r="I16" s="35">
        <f>'T6'!K18</f>
        <v>0</v>
      </c>
      <c r="J16" s="34">
        <f>'T7'!K16</f>
        <v>20914000.204</v>
      </c>
      <c r="K16" s="37">
        <f>'T8'!K16</f>
        <v>23593601.397500001</v>
      </c>
      <c r="L16" s="38">
        <f>'T9'!K16</f>
        <v>24334484.914999999</v>
      </c>
      <c r="M16" s="39">
        <f>'T10'!K16</f>
        <v>22495315.817500003</v>
      </c>
      <c r="N16" s="38">
        <f>'T11'!K16</f>
        <v>24321102.487072952</v>
      </c>
      <c r="O16" s="38">
        <f>'T12'!K16</f>
        <v>12977000</v>
      </c>
      <c r="P16" s="40">
        <f>'T1'!O18+'T2'!O18+'T3'!O18+'T4'!O18+'T5'!O18+'T6'!O18+'T7'!O16+'T8'!O16+'T9'!O16+'T10'!O16+'T11'!O16+'T12'!O16</f>
        <v>8640450</v>
      </c>
      <c r="Q16" s="61">
        <f>SUM(D16:O16)-P16</f>
        <v>201867169.80534795</v>
      </c>
      <c r="R16" s="42"/>
      <c r="S16" s="68">
        <f>'T1'!V18+'T2'!V18+'T3'!V18+'T4'!V18+'T5'!V18+'T6'!V18+'T7'!V16+'T8'!V16+'T9'!V16+'T10'!V16+'T11'!V16+'T12'!V16</f>
        <v>202477619.80534795</v>
      </c>
      <c r="T16" s="69">
        <f>'T1'!W18+'T2'!W18+'T3'!W18+'T4'!W18+'T5'!W18+'T6'!W18+'T7'!W16+'T8'!W16+'T9'!W16+'T10'!W16+'T11'!W16+'T12'!W16</f>
        <v>121000000</v>
      </c>
      <c r="U16" s="69">
        <f>'T1'!X18+'T2'!X18+'T3'!X18+'T4'!X18+'T5'!X18+'T6'!X18+'T7'!X16+'T8'!X16+'T9'!X16+'T10'!X16+'T11'!X16+'T12'!X16</f>
        <v>26400000</v>
      </c>
      <c r="V16" s="69">
        <f>'T1'!Y18+'T2'!Y18+'T3'!Y18+'T4'!Y18+'T5'!Y18+'T6'!Y18+'T7'!Y16+'T8'!Y16+'T9'!Y16+'T10'!Y16+'T11'!Y16+'T12'!Y16</f>
        <v>50481619.805347949</v>
      </c>
      <c r="W16" s="69">
        <f>'T1'!Z18+'T2'!Z18+'T3'!Z18+'T4'!Z18+'T5'!Z18+'T6'!Z18+'T7'!Z16+'T8'!Z16+'T9'!Z16+'T10'!Z16+'T11'!Z16+'T12'!Z16</f>
        <v>2945641</v>
      </c>
      <c r="X16" s="69">
        <f>MAX(S16-T16-U16-P16,0)</f>
        <v>46437169.805347949</v>
      </c>
      <c r="Y16" s="69">
        <f>ROUND(IF(X16&gt;960000000,((X16-960000000)*0.35+217800000),IF(AND(X16&gt;624000000,X16&lt;=624000000),((X16-624000000)*0.3+1170000000),IF(AND(X16&gt;384000000,X16&lt;=624000000),((X16-32000000)*0.25+4750000),IF(AND(X16&gt;216000000,X16&lt;=384000000),((X16-216000000)*0.2+23400000),IF(AND(X16&gt;120000000,X16&lt;=216000000),((X16-120000000)*0.15+9000000),IF(AND(X16&gt;60000000,X16&lt;=120000000),((X16-60000000)*0.1+3000000),(X16*0.05))))))),0)</f>
        <v>2321858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>'T1'!K19</f>
        <v>16571649.310000001</v>
      </c>
      <c r="E17" s="58">
        <f>'T2'!K19</f>
        <v>16765842.784</v>
      </c>
      <c r="F17" s="34">
        <f>'T3'!K19</f>
        <v>15043521.471999999</v>
      </c>
      <c r="G17" s="34">
        <f>'T4'!K19</f>
        <v>12480108.5425</v>
      </c>
      <c r="H17" s="35">
        <f>'T5'!K19</f>
        <v>13264862.284125</v>
      </c>
      <c r="I17" s="35">
        <f>'T6'!K19</f>
        <v>13200593.0875</v>
      </c>
      <c r="J17" s="34">
        <f>'T7'!K17</f>
        <v>353747926.72000003</v>
      </c>
      <c r="K17" s="37">
        <f>'T8'!K17</f>
        <v>347944468.73449999</v>
      </c>
      <c r="L17" s="38">
        <f>'T9'!K17</f>
        <v>332238657.88399994</v>
      </c>
      <c r="M17" s="39">
        <f>'T10'!K17</f>
        <v>341091450.98449999</v>
      </c>
      <c r="N17" s="38">
        <f>'T11'!K17</f>
        <v>386046329.76326948</v>
      </c>
      <c r="O17" s="38">
        <f>'T12'!K17</f>
        <v>320150994.89064431</v>
      </c>
      <c r="P17" s="40">
        <f>'T1'!O19+'T2'!O19+'T3'!O19+'T4'!O19+'T5'!O19+'T6'!O19+'T7'!O17+'T8'!O17+'T9'!O17+'T10'!O17+'T11'!O17+'T12'!O17</f>
        <v>91799652</v>
      </c>
      <c r="Q17" s="61">
        <f>SUM(D17:O17)-P17</f>
        <v>2076746754.4570389</v>
      </c>
      <c r="R17" s="42"/>
      <c r="S17" s="68">
        <f>'T1'!V19+'T2'!V19+'T3'!V19+'T4'!V19+'T5'!V19+'T6'!V19+'T7'!V17+'T8'!V17+'T9'!V17+'T10'!V17+'T11'!V17+'T12'!V17</f>
        <v>2020530078.8420477</v>
      </c>
      <c r="T17" s="69">
        <f>'T1'!W19+'T2'!W19+'T3'!W19+'T4'!W19+'T5'!W19+'T6'!W19+'T7'!W17+'T8'!W17+'T9'!W17+'T10'!W17+'T11'!W17+'T12'!W17</f>
        <v>1661000000</v>
      </c>
      <c r="U17" s="69">
        <f>'T1'!X19+'T2'!X19+'T3'!X19+'T4'!X19+'T5'!X19+'T6'!X19+'T7'!X17+'T8'!X17+'T9'!X17+'T10'!X17+'T11'!X17+'T12'!X17</f>
        <v>554400000</v>
      </c>
      <c r="V17" s="69">
        <f>'T1'!Y19+'T2'!Y19+'T3'!Y19+'T4'!Y19+'T5'!Y19+'T6'!Y19+'T7'!Y17+'T8'!Y17+'T9'!Y17+'T10'!Y17+'T11'!Y17+'T12'!Y17</f>
        <v>206779642.81978622</v>
      </c>
      <c r="W17" s="69">
        <f>'T1'!Z19+'T2'!Z19+'T3'!Z19+'T4'!Z19+'T5'!Z19+'T6'!Z19+'T7'!Z17+'T8'!Z17+'T9'!Z17+'T10'!Z17+'T11'!Z17+'T12'!Z17</f>
        <v>10446491</v>
      </c>
      <c r="X17" s="69">
        <f t="shared" ref="X17:X42" si="4">MAX(S17-T17-U17-P17,0)</f>
        <v>0</v>
      </c>
      <c r="Y17" s="69">
        <f t="shared" ref="Y17:Y41" si="5">ROUND(IF(X17&gt;960000000,((X17-960000000)*0.35+217800000),IF(AND(X17&gt;624000000,X17&lt;=624000000),((X17-624000000)*0.3+1170000000),IF(AND(X17&gt;384000000,X17&lt;=624000000),((X17-32000000)*0.25+4750000),IF(AND(X17&gt;216000000,X17&lt;=384000000),((X17-216000000)*0.2+23400000),IF(AND(X17&gt;120000000,X17&lt;=216000000),((X17-120000000)*0.15+9000000),IF(AND(X17&gt;60000000,X17&lt;=120000000),((X17-60000000)*0.1+3000000),(X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>'T1'!K20</f>
        <v>16571649.310000001</v>
      </c>
      <c r="E18" s="58">
        <f>'T2'!K20</f>
        <v>16765842.784</v>
      </c>
      <c r="F18" s="34">
        <f>'T3'!K20</f>
        <v>15043521.471999999</v>
      </c>
      <c r="G18" s="34">
        <f>'T4'!K20</f>
        <v>12480108.5425</v>
      </c>
      <c r="H18" s="35">
        <f>'T5'!K20</f>
        <v>13264862.284125</v>
      </c>
      <c r="I18" s="35">
        <f>'T6'!K20</f>
        <v>13200593.0875</v>
      </c>
      <c r="J18" s="34">
        <f>'T7'!K18</f>
        <v>0</v>
      </c>
      <c r="K18" s="37">
        <f>'T8'!K18</f>
        <v>0</v>
      </c>
      <c r="L18" s="38">
        <f>'T9'!K18</f>
        <v>0</v>
      </c>
      <c r="M18" s="39">
        <f>'T10'!K18</f>
        <v>0</v>
      </c>
      <c r="N18" s="38">
        <f>'T11'!K18</f>
        <v>0</v>
      </c>
      <c r="O18" s="38">
        <f>'T12'!K18</f>
        <v>0</v>
      </c>
      <c r="P18" s="40">
        <f>'T1'!O20+'T2'!O20+'T3'!O20+'T4'!O20+'T5'!O20+'T6'!O20+'T7'!O18+'T8'!O18+'T9'!O18+'T10'!O18+'T11'!O18+'T12'!O18</f>
        <v>3618972</v>
      </c>
      <c r="Q18" s="61">
        <f t="shared" ref="Q18:Q38" si="6">SUM(D18:O18)-P18</f>
        <v>83707605.48012501</v>
      </c>
      <c r="R18" s="42"/>
      <c r="S18" s="68">
        <f>'T1'!V20+'T2'!V20+'T3'!V20+'T4'!V20+'T5'!V20+'T6'!V20+'T7'!V18+'T8'!V18+'T9'!V18+'T10'!V18+'T11'!V18+'T12'!V18</f>
        <v>82946577.48012501</v>
      </c>
      <c r="T18" s="69">
        <f>'T1'!W20+'T2'!W20+'T3'!W20+'T4'!W20+'T5'!W20+'T6'!W20+'T7'!W18+'T8'!W18+'T9'!W18+'T10'!W18+'T11'!W18+'T12'!W18</f>
        <v>66000000</v>
      </c>
      <c r="U18" s="69">
        <f>'T1'!X20+'T2'!X20+'T3'!X20+'T4'!X20+'T5'!X20+'T6'!X20+'T7'!X18+'T8'!X18+'T9'!X18+'T10'!X18+'T11'!X18+'T12'!X18</f>
        <v>26400000</v>
      </c>
      <c r="V18" s="69">
        <f>'T1'!Y20+'T2'!Y20+'T3'!Y20+'T4'!Y20+'T5'!Y20+'T6'!Y20+'T7'!Y18+'T8'!Y18+'T9'!Y18+'T10'!Y18+'T11'!Y18+'T12'!Y18</f>
        <v>32680.783999999985</v>
      </c>
      <c r="W18" s="69">
        <f>'T1'!Z20+'T2'!Z20+'T3'!Z20+'T4'!Z20+'T5'!Z20+'T6'!Z20+'T7'!Z18+'T8'!Z18+'T9'!Z18+'T10'!Z18+'T11'!Z18+'T12'!Z18</f>
        <v>1634</v>
      </c>
      <c r="X18" s="69">
        <f t="shared" si="4"/>
        <v>0</v>
      </c>
      <c r="Y18" s="69">
        <f t="shared" si="5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 t="e">
        <f>'T1'!#REF!</f>
        <v>#REF!</v>
      </c>
      <c r="E19" s="58" t="e">
        <f>'T2'!#REF!</f>
        <v>#REF!</v>
      </c>
      <c r="F19" s="34" t="e">
        <f>'T3'!#REF!</f>
        <v>#REF!</v>
      </c>
      <c r="G19" s="34" t="e">
        <f>'T4'!#REF!</f>
        <v>#REF!</v>
      </c>
      <c r="H19" s="35" t="e">
        <f>'T5'!#REF!</f>
        <v>#REF!</v>
      </c>
      <c r="I19" s="35" t="e">
        <f>'T6'!#REF!</f>
        <v>#REF!</v>
      </c>
      <c r="J19" s="34" t="e">
        <f>'T7'!#REF!</f>
        <v>#REF!</v>
      </c>
      <c r="K19" s="37" t="e">
        <f>'T8'!#REF!</f>
        <v>#REF!</v>
      </c>
      <c r="L19" s="38" t="e">
        <f>'T9'!#REF!</f>
        <v>#REF!</v>
      </c>
      <c r="M19" s="39" t="e">
        <f>'T10'!#REF!</f>
        <v>#REF!</v>
      </c>
      <c r="N19" s="38" t="e">
        <f>'T11'!#REF!</f>
        <v>#REF!</v>
      </c>
      <c r="O19" s="38" t="e">
        <f>'T12'!#REF!</f>
        <v>#REF!</v>
      </c>
      <c r="P19" s="40" t="e">
        <f>'T1'!#REF!+'T2'!#REF!+'T3'!#REF!+'T4'!#REF!+'T5'!#REF!+'T6'!#REF!+'T7'!#REF!+'T8'!#REF!+'T9'!#REF!+'T10'!#REF!+'T11'!#REF!+'T12'!#REF!</f>
        <v>#REF!</v>
      </c>
      <c r="Q19" s="61" t="e">
        <f t="shared" si="6"/>
        <v>#REF!</v>
      </c>
      <c r="R19" s="42"/>
      <c r="S19" s="68" t="e">
        <f>'T1'!#REF!+'T2'!#REF!+'T3'!#REF!+'T4'!#REF!+'T5'!#REF!+'T6'!#REF!+'T7'!#REF!+'T8'!#REF!+'T9'!#REF!+'T10'!#REF!+'T11'!#REF!+'T12'!#REF!</f>
        <v>#REF!</v>
      </c>
      <c r="T19" s="69" t="e">
        <f>'T1'!#REF!+'T2'!#REF!+'T3'!#REF!+'T4'!#REF!+'T5'!#REF!+'T6'!#REF!+'T7'!#REF!+'T8'!#REF!+'T9'!#REF!+'T10'!#REF!+'T11'!#REF!+'T12'!#REF!</f>
        <v>#REF!</v>
      </c>
      <c r="U19" s="69" t="e">
        <f>'T1'!#REF!+'T2'!#REF!+'T3'!#REF!+'T4'!#REF!+'T5'!#REF!+'T6'!#REF!+'T7'!#REF!+'T8'!#REF!+'T9'!#REF!+'T10'!#REF!+'T11'!#REF!+'T12'!#REF!</f>
        <v>#REF!</v>
      </c>
      <c r="V19" s="69" t="e">
        <f>'T1'!#REF!+'T2'!#REF!+'T3'!#REF!+'T4'!#REF!+'T5'!#REF!+'T6'!#REF!+'T7'!#REF!+'T8'!#REF!+'T9'!#REF!+'T10'!#REF!+'T11'!#REF!+'T12'!#REF!</f>
        <v>#REF!</v>
      </c>
      <c r="W19" s="69" t="e">
        <f>'T1'!#REF!+'T2'!#REF!+'T3'!#REF!+'T4'!#REF!+'T5'!#REF!+'T6'!#REF!+'T7'!#REF!+'T8'!#REF!+'T9'!#REF!+'T10'!#REF!+'T11'!#REF!+'T12'!#REF!</f>
        <v>#REF!</v>
      </c>
      <c r="X19" s="69" t="e">
        <f t="shared" si="4"/>
        <v>#REF!</v>
      </c>
      <c r="Y19" s="69" t="e">
        <f t="shared" si="5"/>
        <v>#REF!</v>
      </c>
      <c r="Z19" s="26"/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'T1'!K21</f>
        <v>18498557.065000001</v>
      </c>
      <c r="E20" s="58">
        <f>'T2'!K21</f>
        <v>18101266.272500001</v>
      </c>
      <c r="F20" s="34">
        <f>'T3'!K21</f>
        <v>12862368.574999999</v>
      </c>
      <c r="G20" s="34">
        <f>'T4'!K21</f>
        <v>10712800</v>
      </c>
      <c r="H20" s="35">
        <f>'T5'!K21</f>
        <v>10712800</v>
      </c>
      <c r="I20" s="35">
        <f>'T6'!K21</f>
        <v>10712800</v>
      </c>
      <c r="J20" s="34">
        <f>'T7'!K19</f>
        <v>13945910.195</v>
      </c>
      <c r="K20" s="37">
        <f>'T8'!K19</f>
        <v>14994329.3225</v>
      </c>
      <c r="L20" s="38">
        <f>'T9'!K19</f>
        <v>13101742.27</v>
      </c>
      <c r="M20" s="39">
        <f>'T10'!K19</f>
        <v>13651977.51</v>
      </c>
      <c r="N20" s="38">
        <f>'T11'!K19</f>
        <v>0</v>
      </c>
      <c r="O20" s="38">
        <f>'T12'!K19</f>
        <v>0</v>
      </c>
      <c r="P20" s="40">
        <f>'T1'!O21+'T2'!O21+'T3'!O21+'T4'!O21+'T5'!O21+'T6'!O21+'T7'!O19+'T8'!O19+'T9'!O19+'T10'!O19+'T11'!O19+'T12'!O19</f>
        <v>6362748</v>
      </c>
      <c r="Q20" s="61">
        <f t="shared" si="6"/>
        <v>130931803.21000001</v>
      </c>
      <c r="R20" s="42"/>
      <c r="S20" s="68">
        <f>'T1'!V21+'T2'!V21+'T3'!V21+'T4'!V21+'T5'!V21+'T6'!V21+'T7'!V19+'T8'!V19+'T9'!V19+'T10'!V19+'T11'!V19+'T12'!V19</f>
        <v>129994551.21000002</v>
      </c>
      <c r="T20" s="69">
        <f>'T1'!W21+'T2'!W21+'T3'!W21+'T4'!W21+'T5'!W21+'T6'!W21+'T7'!W19+'T8'!W19+'T9'!W19+'T10'!W19+'T11'!W19+'T12'!W19</f>
        <v>132000000</v>
      </c>
      <c r="U20" s="69">
        <f>'T1'!X21+'T2'!X21+'T3'!X21+'T4'!X21+'T5'!X21+'T6'!X21+'T7'!X19+'T8'!X19+'T9'!X19+'T10'!X19+'T11'!X19+'T12'!X19</f>
        <v>79200000</v>
      </c>
      <c r="V20" s="69">
        <f>'T1'!Y21+'T2'!Y21+'T3'!Y21+'T4'!Y21+'T5'!Y21+'T6'!Y21+'T7'!Y19+'T8'!Y19+'T9'!Y19+'T10'!Y19+'T11'!Y19+'T12'!Y19</f>
        <v>0</v>
      </c>
      <c r="W20" s="69">
        <f>'T1'!Z21+'T2'!Z21+'T3'!Z21+'T4'!Z21+'T5'!Z21+'T6'!Z21+'T7'!Z19+'T8'!Z19+'T9'!Z19+'T10'!Z19+'T11'!Z19+'T12'!Z19</f>
        <v>0</v>
      </c>
      <c r="X20" s="69">
        <f t="shared" si="4"/>
        <v>0</v>
      </c>
      <c r="Y20" s="69">
        <f t="shared" si="5"/>
        <v>0</v>
      </c>
      <c r="Z20" s="26"/>
    </row>
    <row r="21" spans="1:26" s="44" customFormat="1" ht="21.75" customHeight="1" x14ac:dyDescent="0.2">
      <c r="A21" s="29">
        <v>8</v>
      </c>
      <c r="B21" s="30" t="s">
        <v>51</v>
      </c>
      <c r="C21" s="45" t="s">
        <v>30</v>
      </c>
      <c r="D21" s="32">
        <f>'T1'!K22</f>
        <v>15815299.539999999</v>
      </c>
      <c r="E21" s="58">
        <f>'T2'!K22</f>
        <v>15944761.855999999</v>
      </c>
      <c r="F21" s="34">
        <f>'T3'!K22</f>
        <v>14796547.648</v>
      </c>
      <c r="G21" s="34">
        <f>'T4'!K22</f>
        <v>13393326.834000001</v>
      </c>
      <c r="H21" s="35">
        <f>'T5'!K22</f>
        <v>14021129.827300001</v>
      </c>
      <c r="I21" s="35">
        <f>'T6'!K22</f>
        <v>13969714.470000001</v>
      </c>
      <c r="J21" s="34">
        <f>'T7'!K20</f>
        <v>13945910.195</v>
      </c>
      <c r="K21" s="37">
        <f>'T8'!K20</f>
        <v>0</v>
      </c>
      <c r="L21" s="38">
        <f>'T9'!K20</f>
        <v>0</v>
      </c>
      <c r="M21" s="39">
        <f>'T10'!K20</f>
        <v>0</v>
      </c>
      <c r="N21" s="38">
        <f>'T11'!K20</f>
        <v>0</v>
      </c>
      <c r="O21" s="38">
        <f>'T12'!K20</f>
        <v>0</v>
      </c>
      <c r="P21" s="40">
        <f>'T1'!O22+'T2'!O22+'T3'!O22+'T4'!O22+'T5'!O22+'T6'!O22+'T7'!O20+'T8'!O20+'T9'!O20+'T10'!O20+'T11'!O20+'T12'!O20</f>
        <v>4223142</v>
      </c>
      <c r="Q21" s="61">
        <f t="shared" si="6"/>
        <v>97663548.370299995</v>
      </c>
      <c r="R21" s="42"/>
      <c r="S21" s="68">
        <f>'T1'!V22+'T2'!V22+'T3'!V22+'T4'!V22+'T5'!V22+'T6'!V22+'T7'!V20+'T8'!V20+'T9'!V20+'T10'!V20+'T11'!V20+'T12'!V20</f>
        <v>96776690.370299995</v>
      </c>
      <c r="T21" s="69">
        <f>'T1'!W22+'T2'!W22+'T3'!W22+'T4'!W22+'T5'!W22+'T6'!W22+'T7'!W20+'T8'!W20+'T9'!W20+'T10'!W20+'T11'!W20+'T12'!W20</f>
        <v>132000000</v>
      </c>
      <c r="U21" s="69">
        <f>'T1'!X22+'T2'!X22+'T3'!X22+'T4'!X22+'T5'!X22+'T6'!X22+'T7'!X20+'T8'!X20+'T9'!X20+'T10'!X20+'T11'!X20+'T12'!X20</f>
        <v>52800000</v>
      </c>
      <c r="V21" s="69">
        <f>'T1'!Y22+'T2'!Y22+'T3'!Y22+'T4'!Y22+'T5'!Y22+'T6'!Y22+'T7'!Y20+'T8'!Y20+'T9'!Y20+'T10'!Y20+'T11'!Y20+'T12'!Y20</f>
        <v>0</v>
      </c>
      <c r="W21" s="69">
        <f>'T1'!Z22+'T2'!Z22+'T3'!Z22+'T4'!Z22+'T5'!Z22+'T6'!Z22+'T7'!Z20+'T8'!Z20+'T9'!Z20+'T10'!Z20+'T11'!Z20+'T12'!Z20</f>
        <v>0</v>
      </c>
      <c r="X21" s="69">
        <f t="shared" si="4"/>
        <v>0</v>
      </c>
      <c r="Y21" s="69">
        <f t="shared" si="5"/>
        <v>0</v>
      </c>
      <c r="Z21" s="26"/>
    </row>
    <row r="22" spans="1:26" s="44" customFormat="1" ht="21.75" customHeight="1" x14ac:dyDescent="0.2">
      <c r="A22" s="29">
        <v>9</v>
      </c>
      <c r="B22" s="30" t="s">
        <v>49</v>
      </c>
      <c r="C22" s="45" t="s">
        <v>30</v>
      </c>
      <c r="D22" s="32">
        <f>'T1'!K23</f>
        <v>15815299.539999999</v>
      </c>
      <c r="E22" s="58">
        <f>'T2'!K23</f>
        <v>15944761.855999999</v>
      </c>
      <c r="F22" s="34">
        <f>'T3'!K23</f>
        <v>14796547.648</v>
      </c>
      <c r="G22" s="34">
        <f>'T4'!K23</f>
        <v>13393326.834000001</v>
      </c>
      <c r="H22" s="35">
        <f>'T5'!K23</f>
        <v>14021129.827300001</v>
      </c>
      <c r="I22" s="35">
        <f>'T6'!K23</f>
        <v>13969714.470000001</v>
      </c>
      <c r="J22" s="34">
        <f>'T7'!K21</f>
        <v>10712800</v>
      </c>
      <c r="K22" s="37">
        <f>'T8'!K21</f>
        <v>10712800</v>
      </c>
      <c r="L22" s="38">
        <f>'T9'!K21</f>
        <v>10712800</v>
      </c>
      <c r="M22" s="39">
        <f>'T10'!K21</f>
        <v>10712800</v>
      </c>
      <c r="N22" s="38">
        <f>'T11'!K21</f>
        <v>13698411.1975</v>
      </c>
      <c r="O22" s="38">
        <f>'T12'!K21</f>
        <v>10712800</v>
      </c>
      <c r="P22" s="40">
        <f>'T1'!O23+'T2'!O23+'T3'!O23+'T4'!O23+'T5'!O23+'T6'!O23+'T7'!O21+'T8'!O21+'T9'!O21+'T10'!O21+'T11'!O21+'T12'!O21</f>
        <v>7570080</v>
      </c>
      <c r="Q22" s="61">
        <f t="shared" si="6"/>
        <v>147633111.37279999</v>
      </c>
      <c r="R22" s="42"/>
      <c r="S22" s="68">
        <f>'T1'!V23+'T2'!V23+'T3'!V23+'T4'!V23+'T5'!V23+'T6'!V23+'T7'!V21+'T8'!V21+'T9'!V21+'T10'!V21+'T11'!V21+'T12'!V21</f>
        <v>146443191.37279999</v>
      </c>
      <c r="T22" s="69">
        <f>'T1'!W23+'T2'!W23+'T3'!W23+'T4'!W23+'T5'!W23+'T6'!W23+'T7'!W21+'T8'!W21+'T9'!W21+'T10'!W21+'T11'!W21+'T12'!W21</f>
        <v>132000000</v>
      </c>
      <c r="U22" s="69">
        <f>'T1'!X23+'T2'!X23+'T3'!X23+'T4'!X23+'T5'!X23+'T6'!X23+'T7'!X21+'T8'!X21+'T9'!X21+'T10'!X21+'T11'!X21+'T12'!X21</f>
        <v>52800000</v>
      </c>
      <c r="V22" s="69">
        <f>'T1'!Y23+'T2'!Y23+'T3'!Y23+'T4'!Y23+'T5'!Y23+'T6'!Y23+'T7'!Y21+'T8'!Y21+'T9'!Y21+'T10'!Y21+'T11'!Y21+'T12'!Y21</f>
        <v>13940800.1753</v>
      </c>
      <c r="W22" s="69">
        <f>'T1'!Z23+'T2'!Z23+'T3'!Z23+'T4'!Z23+'T5'!Z23+'T6'!Z23+'T7'!Z21+'T8'!Z21+'T9'!Z21+'T10'!Z21+'T11'!Z21+'T12'!Z21</f>
        <v>697040</v>
      </c>
      <c r="X22" s="69">
        <f t="shared" si="4"/>
        <v>0</v>
      </c>
      <c r="Y22" s="69">
        <f t="shared" si="5"/>
        <v>0</v>
      </c>
      <c r="Z22" s="26"/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>'T1'!K24</f>
        <v>15815299.539999999</v>
      </c>
      <c r="E23" s="58">
        <f>'T2'!K24</f>
        <v>15944761.855999999</v>
      </c>
      <c r="F23" s="34">
        <f>'T3'!K24</f>
        <v>14796547.648</v>
      </c>
      <c r="G23" s="34">
        <f>'T4'!K24</f>
        <v>13393326.834000001</v>
      </c>
      <c r="H23" s="35">
        <f>'T5'!K24</f>
        <v>14021129.827300001</v>
      </c>
      <c r="I23" s="35">
        <f>'T6'!K24</f>
        <v>13969714.470000001</v>
      </c>
      <c r="J23" s="34">
        <f>'T7'!K22</f>
        <v>14565968.155999999</v>
      </c>
      <c r="K23" s="37">
        <f>'T8'!K22</f>
        <v>15404703.458000001</v>
      </c>
      <c r="L23" s="38">
        <f>'T9'!K22</f>
        <v>13890633.816</v>
      </c>
      <c r="M23" s="39">
        <f>'T10'!K22</f>
        <v>14330822.007999999</v>
      </c>
      <c r="N23" s="38">
        <f>'T11'!K22</f>
        <v>14544611.1975</v>
      </c>
      <c r="O23" s="38">
        <f>'T12'!K22</f>
        <v>16078597.030000001</v>
      </c>
      <c r="P23" s="40">
        <f>'T1'!O24+'T2'!O24+'T3'!O24+'T4'!O24+'T5'!O24+'T6'!O24+'T7'!O22+'T8'!O22+'T9'!O22+'T10'!O22+'T11'!O22+'T12'!O22</f>
        <v>7239960</v>
      </c>
      <c r="Q23" s="61">
        <f t="shared" si="6"/>
        <v>169516155.84079999</v>
      </c>
      <c r="R23" s="42"/>
      <c r="S23" s="68">
        <f>'T1'!V24+'T2'!V24+'T3'!V24+'T4'!V24+'T5'!V24+'T6'!V24+'T7'!V22+'T8'!V22+'T9'!V22+'T10'!V22+'T11'!V22+'T12'!V22</f>
        <v>167996115.84079999</v>
      </c>
      <c r="T23" s="69">
        <f>'T1'!W24+'T2'!W24+'T3'!W24+'T4'!W24+'T5'!W24+'T6'!W24+'T7'!W22+'T8'!W22+'T9'!W22+'T10'!W22+'T11'!W22+'T12'!W22</f>
        <v>132000000</v>
      </c>
      <c r="U23" s="69">
        <f>'T1'!X24+'T2'!X24+'T3'!X24+'T4'!X24+'T5'!X24+'T6'!X24+'T7'!X22+'T8'!X22+'T9'!X22+'T10'!X22+'T11'!X22+'T12'!X22</f>
        <v>26400000</v>
      </c>
      <c r="V23" s="69">
        <f>'T1'!Y24+'T2'!Y24+'T3'!Y24+'T4'!Y24+'T5'!Y24+'T6'!Y24+'T7'!Y22+'T8'!Y22+'T9'!Y22+'T10'!Y22+'T11'!Y22+'T12'!Y22</f>
        <v>13940800.1753</v>
      </c>
      <c r="W23" s="69">
        <f>'T1'!Z24+'T2'!Z24+'T3'!Z24+'T4'!Z24+'T5'!Z24+'T6'!Z24+'T7'!Z22+'T8'!Z22+'T9'!Z22+'T10'!Z22+'T11'!Z22+'T12'!Z22</f>
        <v>697040</v>
      </c>
      <c r="X23" s="69">
        <f t="shared" si="4"/>
        <v>2356155.8407999873</v>
      </c>
      <c r="Y23" s="69">
        <f t="shared" si="5"/>
        <v>117808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>'T1'!K25</f>
        <v>17103649.310000002</v>
      </c>
      <c r="E24" s="58">
        <f>'T2'!K25</f>
        <v>17297842.784000002</v>
      </c>
      <c r="F24" s="34">
        <f>'T3'!K25</f>
        <v>15575521.471999999</v>
      </c>
      <c r="G24" s="34">
        <f>'T4'!K25</f>
        <v>13012108.5425</v>
      </c>
      <c r="H24" s="35">
        <f>'T5'!K25</f>
        <v>13796862.284125</v>
      </c>
      <c r="I24" s="35">
        <f>'T6'!K25</f>
        <v>13732593.0875</v>
      </c>
      <c r="J24" s="34">
        <f>'T7'!K23</f>
        <v>14565968.155999999</v>
      </c>
      <c r="K24" s="37">
        <f>'T8'!K23</f>
        <v>15404703.458000001</v>
      </c>
      <c r="L24" s="38">
        <f>'T9'!K23</f>
        <v>13890633.816</v>
      </c>
      <c r="M24" s="39">
        <f>'T10'!K23</f>
        <v>14330822.007999999</v>
      </c>
      <c r="N24" s="38">
        <f>'T11'!K23</f>
        <v>14544611.1975</v>
      </c>
      <c r="O24" s="38">
        <f>'T12'!K23</f>
        <v>16078597.030000001</v>
      </c>
      <c r="P24" s="40">
        <f>'T1'!O25+'T2'!O25+'T3'!O25+'T4'!O25+'T5'!O25+'T6'!O25+'T7'!O23+'T8'!O23+'T9'!O23+'T10'!O23+'T11'!O23+'T12'!O23</f>
        <v>7574112</v>
      </c>
      <c r="Q24" s="61">
        <f t="shared" si="6"/>
        <v>171759801.145625</v>
      </c>
      <c r="R24" s="42"/>
      <c r="S24" s="68">
        <f>'T1'!V25+'T2'!V25+'T3'!V25+'T4'!V25+'T5'!V25+'T6'!V25+'T7'!V23+'T8'!V23+'T9'!V23+'T10'!V23+'T11'!V23+'T12'!V23</f>
        <v>170573913.145625</v>
      </c>
      <c r="T24" s="69">
        <f>'T1'!W25+'T2'!W25+'T3'!W25+'T4'!W25+'T5'!W25+'T6'!W25+'T7'!W23+'T8'!W23+'T9'!W23+'T10'!W23+'T11'!W23+'T12'!W23</f>
        <v>132000000</v>
      </c>
      <c r="U24" s="69">
        <f>'T1'!X25+'T2'!X25+'T3'!X25+'T4'!X25+'T5'!X25+'T6'!X25+'T7'!X23+'T8'!X23+'T9'!X23+'T10'!X23+'T11'!X23+'T12'!X23</f>
        <v>52800000</v>
      </c>
      <c r="V24" s="69">
        <f>'T1'!Y25+'T2'!Y25+'T3'!Y25+'T4'!Y25+'T5'!Y25+'T6'!Y25+'T7'!Y23+'T8'!Y23+'T9'!Y23+'T10'!Y23+'T11'!Y23+'T12'!Y23</f>
        <v>14815355.6655</v>
      </c>
      <c r="W24" s="69">
        <f>'T1'!Z25+'T2'!Z25+'T3'!Z25+'T4'!Z25+'T5'!Z25+'T6'!Z25+'T7'!Z23+'T8'!Z23+'T9'!Z23+'T10'!Z23+'T11'!Z23+'T12'!Z23</f>
        <v>740768</v>
      </c>
      <c r="X24" s="69">
        <f t="shared" si="4"/>
        <v>0</v>
      </c>
      <c r="Y24" s="69">
        <f t="shared" si="5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>'T1'!K26</f>
        <v>16230454.239</v>
      </c>
      <c r="E25" s="58">
        <f>'T2'!K26</f>
        <v>17469773.017999999</v>
      </c>
      <c r="F25" s="34">
        <f>'T3'!K26</f>
        <v>12848741.145</v>
      </c>
      <c r="G25" s="34">
        <f>'T4'!K26</f>
        <v>16151542.249499999</v>
      </c>
      <c r="H25" s="35">
        <f>'T5'!K26</f>
        <v>15275386.953</v>
      </c>
      <c r="I25" s="35">
        <f>'T6'!K26</f>
        <v>15284891.67</v>
      </c>
      <c r="J25" s="34">
        <f>'T7'!K24</f>
        <v>14565968.155999999</v>
      </c>
      <c r="K25" s="37">
        <f>'T8'!K24</f>
        <v>15404703.458000001</v>
      </c>
      <c r="L25" s="38">
        <f>'T9'!K24</f>
        <v>13890633.816</v>
      </c>
      <c r="M25" s="39">
        <f>'T10'!K24</f>
        <v>14330822.007999999</v>
      </c>
      <c r="N25" s="38">
        <f>'T11'!K24</f>
        <v>15291013.996874999</v>
      </c>
      <c r="O25" s="38">
        <f>'T12'!K24</f>
        <v>16078597.030000001</v>
      </c>
      <c r="P25" s="40">
        <f>'T1'!O26+'T2'!O26+'T3'!O26+'T4'!O26+'T5'!O26+'T6'!O26+'T7'!O24+'T8'!O24+'T9'!O24+'T10'!O24+'T11'!O24+'T12'!O24</f>
        <v>7239960</v>
      </c>
      <c r="Q25" s="61">
        <f t="shared" si="6"/>
        <v>175582567.739375</v>
      </c>
      <c r="R25" s="42"/>
      <c r="S25" s="68">
        <f>'T1'!V26+'T2'!V26+'T3'!V26+'T4'!V26+'T5'!V26+'T6'!V26+'T7'!V24+'T8'!V24+'T9'!V24+'T10'!V24+'T11'!V24+'T12'!V24</f>
        <v>174062527.739375</v>
      </c>
      <c r="T25" s="69">
        <f>'T1'!W26+'T2'!W26+'T3'!W26+'T4'!W26+'T5'!W26+'T6'!W26+'T7'!W24+'T8'!W24+'T9'!W24+'T10'!W24+'T11'!W24+'T12'!W24</f>
        <v>132000000</v>
      </c>
      <c r="U25" s="69">
        <f>'T1'!X26+'T2'!X26+'T3'!X26+'T4'!X26+'T5'!X26+'T6'!X26+'T7'!X24+'T8'!X24+'T9'!X24+'T10'!X24+'T11'!X24+'T12'!X24</f>
        <v>0</v>
      </c>
      <c r="V25" s="69">
        <f>'T1'!Y26+'T2'!Y26+'T3'!Y26+'T4'!Y26+'T5'!Y26+'T6'!Y26+'T7'!Y24+'T8'!Y24+'T9'!Y24+'T10'!Y24+'T11'!Y24+'T12'!Y24</f>
        <v>34822567.739374995</v>
      </c>
      <c r="W25" s="69">
        <f>'T1'!Z26+'T2'!Z26+'T3'!Z26+'T4'!Z26+'T5'!Z26+'T6'!Z26+'T7'!Z24+'T8'!Z24+'T9'!Z24+'T10'!Z24+'T11'!Z24+'T12'!Z24</f>
        <v>1747951</v>
      </c>
      <c r="X25" s="69">
        <f t="shared" si="4"/>
        <v>34822567.739374995</v>
      </c>
      <c r="Y25" s="69">
        <f t="shared" si="5"/>
        <v>1741128</v>
      </c>
    </row>
    <row r="26" spans="1:26" s="26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>'T1'!K27</f>
        <v>15815299.539999999</v>
      </c>
      <c r="E26" s="58">
        <f>'T2'!K27</f>
        <v>15944761.855999999</v>
      </c>
      <c r="F26" s="34">
        <f>'T3'!K27</f>
        <v>14796547.648</v>
      </c>
      <c r="G26" s="34">
        <f>'T4'!K27</f>
        <v>13393326.834000001</v>
      </c>
      <c r="H26" s="35">
        <f>'T5'!K27</f>
        <v>14021129.827300001</v>
      </c>
      <c r="I26" s="35">
        <f>'T6'!K27</f>
        <v>14572393.0875</v>
      </c>
      <c r="J26" s="34">
        <f>'T7'!K25</f>
        <v>14477910.195</v>
      </c>
      <c r="K26" s="37">
        <f>'T8'!K25</f>
        <v>15526329.3225</v>
      </c>
      <c r="L26" s="38">
        <f>'T9'!K25</f>
        <v>13633742.27</v>
      </c>
      <c r="M26" s="39">
        <f>'T10'!K25</f>
        <v>14183977.51</v>
      </c>
      <c r="N26" s="38">
        <f>'T11'!K25</f>
        <v>15580958.20874555</v>
      </c>
      <c r="O26" s="38">
        <f>'T12'!K25</f>
        <v>16368696.287500001</v>
      </c>
      <c r="P26" s="40">
        <f>'T1'!O27+'T2'!O27+'T3'!O27+'T4'!O27+'T5'!O27+'T6'!O27+'T7'!O25+'T8'!O25+'T9'!O25+'T10'!O25+'T11'!O25+'T12'!O25</f>
        <v>7574112</v>
      </c>
      <c r="Q26" s="61">
        <f t="shared" si="6"/>
        <v>170740960.58654553</v>
      </c>
      <c r="R26" s="42"/>
      <c r="S26" s="68">
        <f>'T1'!V27+'T2'!V27+'T3'!V27+'T4'!V27+'T5'!V27+'T6'!V27+'T7'!V25+'T8'!V25+'T9'!V25+'T10'!V25+'T11'!V25+'T12'!V25</f>
        <v>169555072.58654553</v>
      </c>
      <c r="T26" s="69">
        <f>'T1'!W27+'T2'!W27+'T3'!W27+'T4'!W27+'T5'!W27+'T6'!W27+'T7'!W25+'T8'!W25+'T9'!W25+'T10'!W25+'T11'!W25+'T12'!W25</f>
        <v>132000000</v>
      </c>
      <c r="U26" s="69">
        <f>'T1'!X27+'T2'!X27+'T3'!X27+'T4'!X27+'T5'!X27+'T6'!X27+'T7'!X25+'T8'!X25+'T9'!X25+'T10'!X25+'T11'!X25+'T12'!X25</f>
        <v>52800000</v>
      </c>
      <c r="V26" s="69">
        <f>'T1'!Y27+'T2'!Y27+'T3'!Y27+'T4'!Y27+'T5'!Y27+'T6'!Y27+'T7'!Y25+'T8'!Y25+'T9'!Y25+'T10'!Y25+'T11'!Y25+'T12'!Y25</f>
        <v>14543478.7928</v>
      </c>
      <c r="W26" s="69">
        <f>'T1'!Z27+'T2'!Z27+'T3'!Z27+'T4'!Z27+'T5'!Z27+'T6'!Z27+'T7'!Z25+'T8'!Z25+'T9'!Z25+'T10'!Z25+'T11'!Z25+'T12'!Z25</f>
        <v>727174</v>
      </c>
      <c r="X26" s="69">
        <f t="shared" si="4"/>
        <v>0</v>
      </c>
      <c r="Y26" s="69">
        <f t="shared" si="5"/>
        <v>0</v>
      </c>
    </row>
    <row r="27" spans="1:26" s="26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>'T1'!K28</f>
        <v>16230454.239</v>
      </c>
      <c r="E27" s="58">
        <f>'T2'!K28</f>
        <v>17469773.017999999</v>
      </c>
      <c r="F27" s="34">
        <f>'T3'!K28</f>
        <v>12848741.145</v>
      </c>
      <c r="G27" s="34">
        <f>'T4'!K28</f>
        <v>16151542.249499999</v>
      </c>
      <c r="H27" s="35">
        <f>'T5'!K28</f>
        <v>15275386.953</v>
      </c>
      <c r="I27" s="35">
        <f>'T6'!K28</f>
        <v>15284891.67</v>
      </c>
      <c r="J27" s="34">
        <f>'T7'!K26</f>
        <v>14960571.516000001</v>
      </c>
      <c r="K27" s="37">
        <f>'T8'!K26</f>
        <v>16108972.0275</v>
      </c>
      <c r="L27" s="38">
        <f>'T9'!K26</f>
        <v>16426493.535</v>
      </c>
      <c r="M27" s="39">
        <f>'T10'!K26</f>
        <v>15638278.2075</v>
      </c>
      <c r="N27" s="38">
        <f>'T11'!K26</f>
        <v>15291013.996874999</v>
      </c>
      <c r="O27" s="38">
        <f>'T12'!K26</f>
        <v>15714531.71255685</v>
      </c>
      <c r="P27" s="40">
        <f>'T1'!O28+'T2'!O28+'T3'!O28+'T4'!O28+'T5'!O28+'T6'!O28+'T7'!O26+'T8'!O26+'T9'!O26+'T10'!O26+'T11'!O26+'T12'!O26</f>
        <v>7239960</v>
      </c>
      <c r="Q27" s="61">
        <f t="shared" si="6"/>
        <v>180160690.26993185</v>
      </c>
      <c r="R27" s="42"/>
      <c r="S27" s="68">
        <f>'T1'!V28+'T2'!V28+'T3'!V28+'T4'!V28+'T5'!V28+'T6'!V28+'T7'!V26+'T8'!V26+'T9'!V26+'T10'!V26+'T11'!V26+'T12'!V26</f>
        <v>178640650.26993182</v>
      </c>
      <c r="T27" s="69">
        <f>'T1'!W28+'T2'!W28+'T3'!W28+'T4'!W28+'T5'!W28+'T6'!W28+'T7'!W26+'T8'!W26+'T9'!W26+'T10'!W26+'T11'!W26+'T12'!W26</f>
        <v>132000000</v>
      </c>
      <c r="U27" s="69">
        <f>'T1'!X28+'T2'!X28+'T3'!X28+'T4'!X28+'T5'!X28+'T6'!X28+'T7'!X26+'T8'!X26+'T9'!X26+'T10'!X26+'T11'!X26+'T12'!X26</f>
        <v>52800000</v>
      </c>
      <c r="V27" s="69">
        <f>'T1'!Y28+'T2'!Y28+'T3'!Y28+'T4'!Y28+'T5'!Y28+'T6'!Y28+'T7'!Y26+'T8'!Y26+'T9'!Y26+'T10'!Y26+'T11'!Y26+'T12'!Y26</f>
        <v>20139880.995431848</v>
      </c>
      <c r="W27" s="69">
        <f>'T1'!Z28+'T2'!Z28+'T3'!Z28+'T4'!Z28+'T5'!Z28+'T6'!Z28+'T7'!Z26+'T8'!Z26+'T9'!Z26+'T10'!Z26+'T11'!Z26+'T12'!Z26</f>
        <v>1006993</v>
      </c>
      <c r="X27" s="69">
        <f t="shared" si="4"/>
        <v>0</v>
      </c>
      <c r="Y27" s="69">
        <f t="shared" si="5"/>
        <v>0</v>
      </c>
    </row>
    <row r="28" spans="1:26" s="26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>'T1'!K29</f>
        <v>18504957.065000001</v>
      </c>
      <c r="E28" s="58">
        <f>'T2'!K29</f>
        <v>18107666.272500001</v>
      </c>
      <c r="F28" s="34">
        <f>'T3'!K29</f>
        <v>12868768.574999999</v>
      </c>
      <c r="G28" s="34">
        <f>'T4'!K29</f>
        <v>16842589.666000001</v>
      </c>
      <c r="H28" s="35">
        <f>'T5'!K29</f>
        <v>15674382.604</v>
      </c>
      <c r="I28" s="35">
        <f>'T6'!K29</f>
        <v>15687055.560000001</v>
      </c>
      <c r="J28" s="34">
        <f>'T7'!K27</f>
        <v>15317710.195</v>
      </c>
      <c r="K28" s="37">
        <f>'T8'!K27</f>
        <v>16366129.3225</v>
      </c>
      <c r="L28" s="38">
        <f>'T9'!K27</f>
        <v>14473542.27</v>
      </c>
      <c r="M28" s="39">
        <f>'T10'!K27</f>
        <v>15023777.51</v>
      </c>
      <c r="N28" s="38">
        <f>'T11'!K27</f>
        <v>16420758.20874555</v>
      </c>
      <c r="O28" s="38">
        <f>'T12'!K27</f>
        <v>17208496.287500001</v>
      </c>
      <c r="P28" s="40" t="e">
        <f>'T1'!#REF!+'T2'!O29+'T3'!O29+'T4'!O29+'T5'!O29+'T6'!O29+'T7'!O27+'T8'!O27+'T9'!O27+'T10'!O27+'T11'!O27+'T12'!O27</f>
        <v>#REF!</v>
      </c>
      <c r="Q28" s="61" t="e">
        <f t="shared" si="6"/>
        <v>#REF!</v>
      </c>
      <c r="R28" s="42"/>
      <c r="S28" s="68" t="e">
        <f>'T1'!#REF!+'T2'!V29+'T3'!V29+'T4'!V29+'T5'!V29+'T6'!V29+'T7'!V27+'T8'!V27+'T9'!V27+'T10'!V27+'T11'!V27+'T12'!V27</f>
        <v>#REF!</v>
      </c>
      <c r="T28" s="69" t="e">
        <f>'T1'!#REF!+'T2'!W29+'T3'!W29+'T4'!W29+'T5'!W29+'T6'!W29+'T7'!W27+'T8'!W27+'T9'!W27+'T10'!W27+'T11'!W27+'T12'!W27</f>
        <v>#REF!</v>
      </c>
      <c r="U28" s="69" t="e">
        <f>'T1'!#REF!+'T2'!X29+'T3'!X29+'T4'!X29+'T5'!X29+'T6'!X29+'T7'!X27+'T8'!X27+'T9'!X27+'T10'!X27+'T11'!X27+'T12'!X27</f>
        <v>#REF!</v>
      </c>
      <c r="V28" s="69" t="e">
        <f>'T1'!#REF!+'T2'!Y29+'T3'!Y29+'T4'!Y29+'T5'!Y29+'T6'!Y29+'T7'!Y27+'T8'!Y27+'T9'!Y27+'T10'!Y27+'T11'!Y27+'T12'!Y27</f>
        <v>#REF!</v>
      </c>
      <c r="W28" s="69" t="e">
        <f>'T1'!#REF!+'T2'!Z29+'T3'!Z29+'T4'!Z29+'T5'!Z29+'T6'!Z29+'T7'!Z27+'T8'!Z27+'T9'!Z27+'T10'!Z27+'T11'!Z27+'T12'!Z27</f>
        <v>#REF!</v>
      </c>
      <c r="X28" s="69" t="e">
        <f t="shared" si="4"/>
        <v>#REF!</v>
      </c>
      <c r="Y28" s="69" t="e">
        <f t="shared" si="5"/>
        <v>#REF!</v>
      </c>
    </row>
    <row r="29" spans="1:26" s="26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>'T1'!K29</f>
        <v>18504957.065000001</v>
      </c>
      <c r="E29" s="58">
        <f>'T2'!K30</f>
        <v>18107666.272500001</v>
      </c>
      <c r="F29" s="34">
        <f>'T3'!K30</f>
        <v>12868768.574999999</v>
      </c>
      <c r="G29" s="34">
        <f>'T4'!K30</f>
        <v>16842589.666000001</v>
      </c>
      <c r="H29" s="35">
        <f>'T5'!K30</f>
        <v>15674382.604</v>
      </c>
      <c r="I29" s="35">
        <f>'T6'!K30</f>
        <v>15687055.560000001</v>
      </c>
      <c r="J29" s="34">
        <f>'T7'!K28</f>
        <v>14960571.516000001</v>
      </c>
      <c r="K29" s="37">
        <f>'T8'!K28</f>
        <v>16108972.0275</v>
      </c>
      <c r="L29" s="38">
        <f>'T9'!K28</f>
        <v>16426493.535</v>
      </c>
      <c r="M29" s="39">
        <f>'T10'!K28</f>
        <v>15638278.2075</v>
      </c>
      <c r="N29" s="38">
        <f>'T11'!K28</f>
        <v>18041344.278327402</v>
      </c>
      <c r="O29" s="38">
        <f>'T12'!K28</f>
        <v>15714531.71255685</v>
      </c>
      <c r="P29" s="40">
        <f>'T1'!O29+'T2'!O30+'T3'!O30+'T4'!O30+'T5'!O30+'T6'!O30+'T7'!O28+'T8'!O28+'T9'!O28+'T10'!O28+'T11'!O28+'T12'!O28</f>
        <v>7574112</v>
      </c>
      <c r="Q29" s="61">
        <f t="shared" si="6"/>
        <v>187001499.01938426</v>
      </c>
      <c r="R29" s="42"/>
      <c r="S29" s="68">
        <f>'T1'!V29+'T2'!V30+'T3'!V30+'T4'!V30+'T5'!V30+'T6'!V30+'T7'!V28+'T8'!V28+'T9'!V28+'T10'!V28+'T11'!V28+'T12'!V28</f>
        <v>185815611.01938426</v>
      </c>
      <c r="T29" s="69">
        <f>'T1'!W29+'T2'!W30+'T3'!W30+'T4'!W30+'T5'!W30+'T6'!W30+'T7'!W28+'T8'!W28+'T9'!W28+'T10'!W28+'T11'!W28+'T12'!W28</f>
        <v>132000000</v>
      </c>
      <c r="U29" s="69">
        <f>'T1'!X29+'T2'!X30+'T3'!X30+'T4'!X30+'T5'!X30+'T6'!X30+'T7'!X28+'T8'!X28+'T9'!X28+'T10'!X28+'T11'!X28+'T12'!X28</f>
        <v>88000000</v>
      </c>
      <c r="V29" s="69">
        <f>'T1'!Y29+'T2'!Y30+'T3'!Y30+'T4'!Y30+'T5'!Y30+'T6'!Y30+'T7'!Y28+'T8'!Y28+'T9'!Y28+'T10'!Y28+'T11'!Y28+'T12'!Y28</f>
        <v>1372211.938500002</v>
      </c>
      <c r="W29" s="69">
        <f>'T1'!Z29+'T2'!Z30+'T3'!Z30+'T4'!Z30+'T5'!Z30+'T6'!Z30+'T7'!Z28+'T8'!Z28+'T9'!Z28+'T10'!Z28+'T11'!Z28+'T12'!Z28</f>
        <v>68610</v>
      </c>
      <c r="X29" s="69">
        <f t="shared" si="4"/>
        <v>0</v>
      </c>
      <c r="Y29" s="69">
        <f t="shared" si="5"/>
        <v>0</v>
      </c>
    </row>
    <row r="30" spans="1:26" s="26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>'T1'!K30</f>
        <v>18504957.065000001</v>
      </c>
      <c r="E30" s="58">
        <f>'T2'!K31</f>
        <v>17469773.017999999</v>
      </c>
      <c r="F30" s="34">
        <f>'T3'!K31</f>
        <v>12848741.145</v>
      </c>
      <c r="G30" s="34">
        <f>'T4'!K31</f>
        <v>16151542.249499999</v>
      </c>
      <c r="H30" s="35">
        <f>'T5'!K31</f>
        <v>15275386.953</v>
      </c>
      <c r="I30" s="35">
        <f>'T6'!K31</f>
        <v>15284891.67</v>
      </c>
      <c r="J30" s="34">
        <f>'T7'!K29</f>
        <v>15254628.688000001</v>
      </c>
      <c r="K30" s="37">
        <f>'T8'!K29</f>
        <v>16785829.370000001</v>
      </c>
      <c r="L30" s="38">
        <f>'T9'!K29</f>
        <v>17209191.379999999</v>
      </c>
      <c r="M30" s="39">
        <f>'T10'!K29</f>
        <v>16158237.609999999</v>
      </c>
      <c r="N30" s="38">
        <f>'T11'!K29</f>
        <v>17201544.278327402</v>
      </c>
      <c r="O30" s="38">
        <f>'T12'!K29</f>
        <v>16259908.9500758</v>
      </c>
      <c r="P30" s="40">
        <f>'T1'!O30+'T2'!O31+'T3'!O31+'T4'!O31+'T5'!O31+'T6'!O31+'T7'!O29+'T8'!O29+'T9'!O29+'T10'!O29+'T11'!O29+'T12'!O29</f>
        <v>7629804</v>
      </c>
      <c r="Q30" s="61">
        <f t="shared" si="6"/>
        <v>186774828.37690324</v>
      </c>
      <c r="R30" s="42"/>
      <c r="S30" s="68">
        <f>'T1'!V30+'T2'!V31+'T3'!V31+'T4'!V31+'T5'!V31+'T6'!V31+'T7'!V29+'T8'!V29+'T9'!V29+'T10'!V29+'T11'!V29+'T12'!V29</f>
        <v>185644632.37690324</v>
      </c>
      <c r="T30" s="69">
        <f>'T1'!W30+'T2'!W31+'T3'!W31+'T4'!W31+'T5'!W31+'T6'!W31+'T7'!W29+'T8'!W29+'T9'!W29+'T10'!W29+'T11'!W29+'T12'!W29</f>
        <v>132000000</v>
      </c>
      <c r="U30" s="69">
        <f>'T1'!X30+'T2'!X31+'T3'!X31+'T4'!X31+'T5'!X31+'T6'!X31+'T7'!X29+'T8'!X29+'T9'!X29+'T10'!X29+'T11'!X29+'T12'!X29</f>
        <v>149600000</v>
      </c>
      <c r="V30" s="69">
        <f>'T1'!Y30+'T2'!Y31+'T3'!Y31+'T4'!Y31+'T5'!Y31+'T6'!Y31+'T7'!Y29+'T8'!Y29+'T9'!Y29+'T10'!Y29+'T11'!Y29+'T12'!Y29</f>
        <v>1715935.0650000013</v>
      </c>
      <c r="W30" s="69">
        <f>'T1'!Z30+'T2'!Z31+'T3'!Z31+'T4'!Z31+'T5'!Z31+'T6'!Z31+'T7'!Z29+'T8'!Z29+'T9'!Z29+'T10'!Z29+'T11'!Z29+'T12'!Z29</f>
        <v>85797</v>
      </c>
      <c r="X30" s="69">
        <f t="shared" si="4"/>
        <v>0</v>
      </c>
      <c r="Y30" s="69">
        <f t="shared" si="5"/>
        <v>0</v>
      </c>
    </row>
    <row r="31" spans="1:26" s="26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>'T1'!K31</f>
        <v>16230454.239</v>
      </c>
      <c r="E31" s="58">
        <f>'T2'!K32</f>
        <v>17469773.017999999</v>
      </c>
      <c r="F31" s="34">
        <f>'T3'!K32</f>
        <v>12848741.145</v>
      </c>
      <c r="G31" s="34">
        <f>'T4'!K32</f>
        <v>0</v>
      </c>
      <c r="H31" s="35">
        <f>'T5'!K32</f>
        <v>0</v>
      </c>
      <c r="I31" s="35">
        <f>'T6'!K32</f>
        <v>0</v>
      </c>
      <c r="J31" s="34">
        <f>'T7'!K30</f>
        <v>15254628.688000001</v>
      </c>
      <c r="K31" s="37">
        <f>'T8'!K30</f>
        <v>16785829.370000001</v>
      </c>
      <c r="L31" s="38">
        <f>'T9'!K30</f>
        <v>17209191.379999999</v>
      </c>
      <c r="M31" s="39">
        <f>'T10'!K30</f>
        <v>16158237.609999999</v>
      </c>
      <c r="N31" s="38">
        <f>'T11'!K30</f>
        <v>15580958.20874555</v>
      </c>
      <c r="O31" s="38">
        <f>'T12'!K30</f>
        <v>16259908.9500758</v>
      </c>
      <c r="P31" s="40">
        <f>'T1'!O31+'T2'!O32+'T3'!O32+'T4'!O32+'T5'!O32+'T6'!O32+'T7'!O30+'T8'!O30+'T9'!O30+'T10'!O30+'T11'!O30+'T12'!O30</f>
        <v>5850312</v>
      </c>
      <c r="Q31" s="61">
        <f t="shared" si="6"/>
        <v>137947410.60882133</v>
      </c>
      <c r="R31" s="42"/>
      <c r="S31" s="68">
        <f>'T1'!V31+'T2'!V32+'T3'!V32+'T4'!V32+'T5'!V32+'T6'!V32+'T7'!V30+'T8'!V30+'T9'!V30+'T10'!V30+'T11'!V30+'T12'!V30</f>
        <v>137227722.60882133</v>
      </c>
      <c r="T31" s="69">
        <f>'T1'!W31+'T2'!W32+'T3'!W32+'T4'!W32+'T5'!W32+'T6'!W32+'T7'!W30+'T8'!W30+'T9'!W30+'T10'!W30+'T11'!W30+'T12'!W30</f>
        <v>99000000</v>
      </c>
      <c r="U31" s="69">
        <f>'T1'!X31+'T2'!X32+'T3'!X32+'T4'!X32+'T5'!X32+'T6'!X32+'T7'!X30+'T8'!X30+'T9'!X30+'T10'!X30+'T11'!X30+'T12'!X30</f>
        <v>66000000</v>
      </c>
      <c r="V31" s="69">
        <f>'T1'!Y31+'T2'!Y32+'T3'!Y32+'T4'!Y32+'T5'!Y32+'T6'!Y32+'T7'!Y30+'T8'!Y30+'T9'!Y30+'T10'!Y30+'T11'!Y30+'T12'!Y30</f>
        <v>420169.37999999896</v>
      </c>
      <c r="W31" s="69">
        <f>'T1'!Z31+'T2'!Z32+'T3'!Z32+'T4'!Z32+'T5'!Z32+'T6'!Z32+'T7'!Z30+'T8'!Z30+'T9'!Z30+'T10'!Z30+'T11'!Z30+'T12'!Z30</f>
        <v>21008</v>
      </c>
      <c r="X31" s="69">
        <f t="shared" si="4"/>
        <v>0</v>
      </c>
      <c r="Y31" s="69">
        <f t="shared" si="5"/>
        <v>0</v>
      </c>
    </row>
    <row r="32" spans="1:26" s="26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>'T1'!K32</f>
        <v>16230454.239</v>
      </c>
      <c r="E32" s="58">
        <f>'T2'!K33</f>
        <v>15944761.855999999</v>
      </c>
      <c r="F32" s="34">
        <f>'T3'!K33</f>
        <v>14796547.648</v>
      </c>
      <c r="G32" s="34">
        <f>'T4'!K33</f>
        <v>13393326.834000001</v>
      </c>
      <c r="H32" s="35">
        <f>'T5'!K33</f>
        <v>14021129.827300001</v>
      </c>
      <c r="I32" s="35">
        <f>'T6'!K33</f>
        <v>13969714.470000001</v>
      </c>
      <c r="J32" s="34">
        <f>'T7'!K31</f>
        <v>14960571.516000001</v>
      </c>
      <c r="K32" s="37">
        <f>'T8'!K31</f>
        <v>16108972.0275</v>
      </c>
      <c r="L32" s="38">
        <f>'T9'!K31</f>
        <v>16426493.535</v>
      </c>
      <c r="M32" s="39">
        <f>'T10'!K31</f>
        <v>15638278.2075</v>
      </c>
      <c r="N32" s="38">
        <f>'T11'!K31</f>
        <v>16420758.20874555</v>
      </c>
      <c r="O32" s="38">
        <f>'T12'!K31</f>
        <v>15714531.71255685</v>
      </c>
      <c r="P32" s="40">
        <f>'T1'!O32+'T2'!O33+'T3'!O33+'T4'!O33+'T5'!O33+'T6'!O33+'T7'!O31+'T8'!O31+'T9'!O31+'T10'!O31+'T11'!O31+'T12'!O31</f>
        <v>7239960</v>
      </c>
      <c r="Q32" s="61">
        <f t="shared" si="6"/>
        <v>176385580.08160239</v>
      </c>
      <c r="R32" s="42"/>
      <c r="S32" s="68">
        <f>'T1'!V32+'T2'!V33+'T3'!V33+'T4'!V33+'T5'!V33+'T6'!V33+'T7'!V31+'T8'!V31+'T9'!V31+'T10'!V31+'T11'!V31+'T12'!V31</f>
        <v>174865540.08160239</v>
      </c>
      <c r="T32" s="69">
        <f>'T1'!W32+'T2'!W33+'T3'!W33+'T4'!W33+'T5'!W33+'T6'!W33+'T7'!W31+'T8'!W31+'T9'!W31+'T10'!W31+'T11'!W31+'T12'!W31</f>
        <v>132000000</v>
      </c>
      <c r="U32" s="69">
        <f>'T1'!X32+'T2'!X33+'T3'!X33+'T4'!X33+'T5'!X33+'T6'!X33+'T7'!X31+'T8'!X31+'T9'!X31+'T10'!X31+'T11'!X31+'T12'!X31</f>
        <v>92400000</v>
      </c>
      <c r="V32" s="69">
        <f>'T1'!Y32+'T2'!Y33+'T3'!Y33+'T4'!Y33+'T5'!Y33+'T6'!Y33+'T7'!Y31+'T8'!Y31+'T9'!Y31+'T10'!Y31+'T11'!Y31+'T12'!Y31</f>
        <v>10458830.635300001</v>
      </c>
      <c r="W32" s="69">
        <f>'T1'!Z32+'T2'!Z33+'T3'!Z33+'T4'!Z33+'T5'!Z33+'T6'!Z33+'T7'!Z31+'T8'!Z31+'T9'!Z31+'T10'!Z31+'T11'!Z31+'T12'!Z31</f>
        <v>522942</v>
      </c>
      <c r="X32" s="69">
        <f t="shared" si="4"/>
        <v>0</v>
      </c>
      <c r="Y32" s="69">
        <f t="shared" si="5"/>
        <v>0</v>
      </c>
    </row>
    <row r="33" spans="1:25" s="26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>'T1'!K33</f>
        <v>15815299.539999999</v>
      </c>
      <c r="E33" s="58">
        <f>'T2'!K34</f>
        <v>22854452.781500001</v>
      </c>
      <c r="F33" s="34">
        <f>'T3'!K34</f>
        <v>15090082.289999999</v>
      </c>
      <c r="G33" s="34">
        <f>'T4'!K34</f>
        <v>21695684.498999998</v>
      </c>
      <c r="H33" s="35">
        <f>'T5'!K34</f>
        <v>19943373.905999999</v>
      </c>
      <c r="I33" s="35">
        <f>'T6'!K34</f>
        <v>19962383.34</v>
      </c>
      <c r="J33" s="34">
        <f>'T7'!K32</f>
        <v>0</v>
      </c>
      <c r="K33" s="37">
        <f>'T8'!K32</f>
        <v>0</v>
      </c>
      <c r="L33" s="38">
        <f>'T9'!K32</f>
        <v>0</v>
      </c>
      <c r="M33" s="39">
        <f>'T10'!K32</f>
        <v>15638278.2075</v>
      </c>
      <c r="N33" s="38">
        <f>'T11'!K32</f>
        <v>0</v>
      </c>
      <c r="O33" s="38">
        <f>'T12'!K32</f>
        <v>0</v>
      </c>
      <c r="P33" s="40">
        <f>'T1'!O33+'T2'!O34+'T3'!O34+'T4'!O34+'T5'!O34+'T6'!O34+'T7'!O32+'T8'!O32+'T9'!O32+'T10'!O32+'T11'!O32+'T12'!O32</f>
        <v>5372640</v>
      </c>
      <c r="Q33" s="61">
        <f t="shared" si="6"/>
        <v>125626914.56400001</v>
      </c>
      <c r="R33" s="42"/>
      <c r="S33" s="68">
        <f>'T1'!V33+'T2'!V34+'T3'!V34+'T4'!V34+'T5'!V34+'T6'!V34+'T7'!V32+'T8'!V32+'T9'!V32+'T10'!V32+'T11'!V32+'T12'!V32</f>
        <v>125889554.56400001</v>
      </c>
      <c r="T33" s="69">
        <f>'T1'!W33+'T2'!W34+'T3'!W34+'T4'!W34+'T5'!W34+'T6'!W34+'T7'!W32+'T8'!W32+'T9'!W32+'T10'!W32+'T11'!W32+'T12'!W32</f>
        <v>77000000</v>
      </c>
      <c r="U33" s="69">
        <f>'T1'!X33+'T2'!X34+'T3'!X34+'T4'!X34+'T5'!X34+'T6'!X34+'T7'!X32+'T8'!X32+'T9'!X32+'T10'!X32+'T11'!X32+'T12'!X32</f>
        <v>66000000</v>
      </c>
      <c r="V33" s="69">
        <f>'T1'!Y33+'T2'!Y34+'T3'!Y34+'T4'!Y34+'T5'!Y34+'T6'!Y34+'T7'!Y32+'T8'!Y32+'T9'!Y32+'T10'!Y32+'T11'!Y32+'T12'!Y32</f>
        <v>6786917.7474999987</v>
      </c>
      <c r="W33" s="69">
        <f>'T1'!Z33+'T2'!Z34+'T3'!Z34+'T4'!Z34+'T5'!Z34+'T6'!Z34+'T7'!Z32+'T8'!Z32+'T9'!Z32+'T10'!Z32+'T11'!Z32+'T12'!Z32</f>
        <v>339345</v>
      </c>
      <c r="X33" s="69">
        <f t="shared" si="4"/>
        <v>0</v>
      </c>
      <c r="Y33" s="69">
        <f t="shared" si="5"/>
        <v>0</v>
      </c>
    </row>
    <row r="34" spans="1:25" s="26" customFormat="1" ht="21.75" customHeight="1" x14ac:dyDescent="0.25">
      <c r="A34" s="29">
        <v>21</v>
      </c>
      <c r="B34" s="30" t="s">
        <v>102</v>
      </c>
      <c r="C34" s="31" t="s">
        <v>112</v>
      </c>
      <c r="D34" s="32">
        <f>'T1'!K34</f>
        <v>21853508.478</v>
      </c>
      <c r="E34" s="58">
        <f>'T2'!K35</f>
        <v>15416961.855999999</v>
      </c>
      <c r="F34" s="34">
        <f>'T3'!K35</f>
        <v>14268747.648</v>
      </c>
      <c r="G34" s="34">
        <f>'T4'!K35</f>
        <v>13324108.5425</v>
      </c>
      <c r="H34" s="35">
        <f>'T5'!K35</f>
        <v>14108862.284125</v>
      </c>
      <c r="I34" s="35">
        <f>'T6'!K35</f>
        <v>14044593.0875</v>
      </c>
      <c r="J34" s="34">
        <f>'T7'!K33</f>
        <v>14565968.155999999</v>
      </c>
      <c r="K34" s="37">
        <f>'T8'!K33</f>
        <v>15404703.458000001</v>
      </c>
      <c r="L34" s="38">
        <f>'T9'!K33</f>
        <v>13890633.816</v>
      </c>
      <c r="M34" s="39">
        <f>'T10'!K33</f>
        <v>11559000</v>
      </c>
      <c r="N34" s="38">
        <f>'T11'!K33</f>
        <v>11559000</v>
      </c>
      <c r="O34" s="38">
        <f>'T12'!K33</f>
        <v>0</v>
      </c>
      <c r="P34" s="40">
        <f>'T1'!O34+'T2'!O35+'T3'!O35+'T4'!O35+'T5'!O35+'T6'!O35+'T7'!O33+'T8'!O33+'T9'!O33+'T10'!O33+'T11'!O33+'T12'!O33</f>
        <v>7308756</v>
      </c>
      <c r="Q34" s="61">
        <f t="shared" si="6"/>
        <v>152687331.32612503</v>
      </c>
      <c r="R34" s="42"/>
      <c r="S34" s="68">
        <f>'T1'!V34+'T2'!V35+'T3'!V35+'T4'!V35+'T5'!V35+'T6'!V35+'T7'!V33+'T8'!V33+'T9'!V33+'T10'!V33+'T11'!V33+'T12'!V33</f>
        <v>151966087.32612503</v>
      </c>
      <c r="T34" s="69">
        <f>'T1'!W34+'T2'!W35+'T3'!W35+'T4'!W35+'T5'!W35+'T6'!W35+'T7'!W33+'T8'!W33+'T9'!W33+'T10'!W33+'T11'!W33+'T12'!W33</f>
        <v>132000000</v>
      </c>
      <c r="U34" s="69">
        <f>'T1'!X34+'T2'!X35+'T3'!X35+'T4'!X35+'T5'!X35+'T6'!X35+'T7'!X33+'T8'!X33+'T9'!X33+'T10'!X33+'T11'!X33+'T12'!X33</f>
        <v>13200000</v>
      </c>
      <c r="V34" s="69">
        <f>'T1'!Y34+'T2'!Y35+'T3'!Y35+'T4'!Y35+'T5'!Y35+'T6'!Y35+'T7'!Y33+'T8'!Y33+'T9'!Y33+'T10'!Y33+'T11'!Y33+'T12'!Y33</f>
        <v>15915678.848125</v>
      </c>
      <c r="W34" s="69">
        <f>'T1'!Z34+'T2'!Z35+'T3'!Z35+'T4'!Z35+'T5'!Z35+'T6'!Z35+'T7'!Z33+'T8'!Z33+'T9'!Z33+'T10'!Z33+'T11'!Z33+'T12'!Z33</f>
        <v>795784</v>
      </c>
      <c r="X34" s="69">
        <f t="shared" si="4"/>
        <v>0</v>
      </c>
      <c r="Y34" s="69">
        <f t="shared" si="5"/>
        <v>0</v>
      </c>
    </row>
    <row r="35" spans="1:25" s="26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>'T1'!K35</f>
        <v>15287499.539999999</v>
      </c>
      <c r="E35" s="58">
        <f>'T2'!K36</f>
        <v>17609842.784000002</v>
      </c>
      <c r="F35" s="34">
        <f>'T3'!K36</f>
        <v>15887521.471999999</v>
      </c>
      <c r="G35" s="34">
        <f>'T4'!K36</f>
        <v>13324108.5425</v>
      </c>
      <c r="H35" s="35">
        <f>'T5'!K36</f>
        <v>14108862.284125</v>
      </c>
      <c r="I35" s="35">
        <f>'T6'!K36</f>
        <v>14044593.0875</v>
      </c>
      <c r="J35" s="34">
        <f>'T7'!K34</f>
        <v>19313743.032000002</v>
      </c>
      <c r="K35" s="37">
        <f>'T8'!K34</f>
        <v>21610544.055</v>
      </c>
      <c r="L35" s="38">
        <f>'T9'!K34</f>
        <v>22245587.07</v>
      </c>
      <c r="M35" s="39">
        <f>'T10'!K34</f>
        <v>15282422.007999999</v>
      </c>
      <c r="N35" s="38">
        <f>'T11'!K34</f>
        <v>22234116.417491101</v>
      </c>
      <c r="O35" s="38">
        <f>'T12'!K34</f>
        <v>20821663.4251137</v>
      </c>
      <c r="P35" s="40">
        <f>'T1'!O35+'T2'!O36+'T3'!O36+'T4'!O36+'T5'!O36+'T6'!O36+'T7'!O34+'T8'!O34+'T9'!O34+'T10'!O34+'T11'!O34+'T12'!O34</f>
        <v>9149868</v>
      </c>
      <c r="Q35" s="61">
        <f t="shared" si="6"/>
        <v>202620635.71772981</v>
      </c>
      <c r="R35" s="42"/>
      <c r="S35" s="68">
        <f>'T1'!V35+'T2'!V36+'T3'!V36+'T4'!V36+'T5'!V36+'T6'!V36+'T7'!V34+'T8'!V34+'T9'!V34+'T10'!V34+'T11'!V34+'T12'!V34</f>
        <v>203010503.71772981</v>
      </c>
      <c r="T35" s="69">
        <f>'T1'!W35+'T2'!W36+'T3'!W36+'T4'!W36+'T5'!W36+'T6'!W36+'T7'!W34+'T8'!W34+'T9'!W34+'T10'!W34+'T11'!W34+'T12'!W34</f>
        <v>132000000</v>
      </c>
      <c r="U35" s="69">
        <f>'T1'!X35+'T2'!X36+'T3'!X36+'T4'!X36+'T5'!X36+'T6'!X36+'T7'!X34+'T8'!X34+'T9'!X34+'T10'!X34+'T11'!X34+'T12'!X34</f>
        <v>101200000</v>
      </c>
      <c r="V35" s="69">
        <f>'T1'!Y35+'T2'!Y36+'T3'!Y36+'T4'!Y36+'T5'!Y36+'T6'!Y36+'T7'!Y34+'T8'!Y34+'T9'!Y34+'T10'!Y34+'T11'!Y34+'T12'!Y34</f>
        <v>3653778.324000001</v>
      </c>
      <c r="W35" s="69">
        <f>'T1'!Z35+'T2'!Z36+'T3'!Z36+'T4'!Z36+'T5'!Z36+'T6'!Z36+'T7'!Z34+'T8'!Z34+'T9'!Z34+'T10'!Z34+'T11'!Z34+'T12'!Z34</f>
        <v>182689</v>
      </c>
      <c r="X35" s="69">
        <f t="shared" si="4"/>
        <v>0</v>
      </c>
      <c r="Y35" s="69" t="s">
        <v>136</v>
      </c>
    </row>
    <row r="36" spans="1:25" s="26" customFormat="1" ht="21.75" customHeight="1" x14ac:dyDescent="0.25">
      <c r="A36" s="29">
        <v>23</v>
      </c>
      <c r="B36" s="30" t="s">
        <v>109</v>
      </c>
      <c r="C36" s="31" t="s">
        <v>29</v>
      </c>
      <c r="D36" s="32">
        <f>'T1'!K36</f>
        <v>17415649.310000002</v>
      </c>
      <c r="E36" s="58">
        <f>'T2'!K37</f>
        <v>11890280.927999999</v>
      </c>
      <c r="F36" s="34">
        <f>'T3'!K37</f>
        <v>0</v>
      </c>
      <c r="G36" s="34">
        <f>'T4'!K37</f>
        <v>0</v>
      </c>
      <c r="H36" s="35">
        <f>'T5'!K37</f>
        <v>0</v>
      </c>
      <c r="I36" s="35">
        <f>'T6'!K37</f>
        <v>0</v>
      </c>
      <c r="J36" s="34">
        <f>'T7'!K35</f>
        <v>14789910.195</v>
      </c>
      <c r="K36" s="37">
        <f>'T8'!K35</f>
        <v>15838329.3225</v>
      </c>
      <c r="L36" s="38">
        <f>'T9'!K35</f>
        <v>13945742.27</v>
      </c>
      <c r="M36" s="39">
        <f>'T10'!K35</f>
        <v>19189756.414999999</v>
      </c>
      <c r="N36" s="38">
        <f>'T11'!K35</f>
        <v>14763213.996874999</v>
      </c>
      <c r="O36" s="38">
        <f>'T12'!K35</f>
        <v>16680696.287500001</v>
      </c>
      <c r="P36" s="40">
        <f>'T1'!O36+'T2'!O37+'T3'!O37+'T4'!O37+'T5'!O37+'T6'!O37+'T7'!O35+'T8'!O35+'T9'!O35+'T10'!O35+'T11'!O35+'T12'!O35</f>
        <v>5488938</v>
      </c>
      <c r="Q36" s="61">
        <f t="shared" si="6"/>
        <v>119024640.724875</v>
      </c>
      <c r="R36" s="42"/>
      <c r="S36" s="68">
        <f>'T1'!V36+'T2'!V37+'T3'!V37+'T4'!V37+'T5'!V37+'T6'!V37+'T7'!V35+'T8'!V35+'T9'!V35+'T10'!V35+'T11'!V35+'T12'!V35</f>
        <v>118673578.724875</v>
      </c>
      <c r="T36" s="69">
        <f>'T1'!W36+'T2'!W37+'T3'!W37+'T4'!W37+'T5'!W37+'T6'!W37+'T7'!W35+'T8'!W35+'T9'!W35+'T10'!W35+'T11'!W35+'T12'!W35</f>
        <v>88000000</v>
      </c>
      <c r="U36" s="69">
        <f>'T1'!X36+'T2'!X37+'T3'!X37+'T4'!X37+'T5'!X37+'T6'!X37+'T7'!X35+'T8'!X35+'T9'!X35+'T10'!X35+'T11'!X35+'T12'!X35</f>
        <v>4400000</v>
      </c>
      <c r="V36" s="69">
        <f>'T1'!Y36+'T2'!Y37+'T3'!Y37+'T4'!Y37+'T5'!Y37+'T6'!Y37+'T7'!Y35+'T8'!Y35+'T9'!Y35+'T10'!Y35+'T11'!Y35+'T12'!Y35</f>
        <v>21270823.796875</v>
      </c>
      <c r="W36" s="69">
        <f>'T1'!Z36+'T2'!Z37+'T3'!Z37+'T4'!Z37+'T5'!Z37+'T6'!Z37+'T7'!Z35+'T8'!Z35+'T9'!Z35+'T10'!Z35+'T11'!Z35+'T12'!Z35</f>
        <v>1151939</v>
      </c>
      <c r="X36" s="69">
        <f t="shared" si="4"/>
        <v>20784640.724875003</v>
      </c>
      <c r="Y36" s="69">
        <f t="shared" si="5"/>
        <v>1039232</v>
      </c>
    </row>
    <row r="37" spans="1:25" s="26" customFormat="1" ht="21.75" customHeight="1" x14ac:dyDescent="0.25">
      <c r="A37" s="29">
        <v>24</v>
      </c>
      <c r="B37" s="30" t="s">
        <v>119</v>
      </c>
      <c r="C37" s="31" t="s">
        <v>120</v>
      </c>
      <c r="D37" s="32">
        <f>'T1'!K37</f>
        <v>11825549.77</v>
      </c>
      <c r="E37" s="58">
        <f>'T2'!K38</f>
        <v>15416961.855999999</v>
      </c>
      <c r="F37" s="34">
        <f>'T3'!K38</f>
        <v>14268747.648</v>
      </c>
      <c r="G37" s="34">
        <f>'T4'!K38</f>
        <v>13324108.5425</v>
      </c>
      <c r="H37" s="35">
        <f>'T5'!K38</f>
        <v>14108862.284125</v>
      </c>
      <c r="I37" s="35">
        <f>'T6'!K38</f>
        <v>13441914.470000001</v>
      </c>
      <c r="J37" s="34">
        <f>'T7'!K36</f>
        <v>14789910.195</v>
      </c>
      <c r="K37" s="37">
        <f>'T8'!K36</f>
        <v>15838329.3225</v>
      </c>
      <c r="L37" s="38">
        <f>'T9'!K36</f>
        <v>13945742.27</v>
      </c>
      <c r="M37" s="39">
        <f>'T10'!K36</f>
        <v>14495977.51</v>
      </c>
      <c r="N37" s="38">
        <f>'T11'!K36</f>
        <v>14763213.996874999</v>
      </c>
      <c r="O37" s="38">
        <f>'T12'!K36</f>
        <v>16680696.287500001</v>
      </c>
      <c r="P37" s="40">
        <f>'T1'!O37+'T2'!O38+'T3'!O38+'T4'!O38+'T5'!O38+'T6'!O38+'T7'!O36+'T8'!O36+'T9'!O36+'T10'!O36+'T11'!O36+'T12'!O36</f>
        <v>8175258</v>
      </c>
      <c r="Q37" s="61">
        <f t="shared" si="6"/>
        <v>164724756.15249997</v>
      </c>
      <c r="R37" s="42"/>
      <c r="S37" s="68">
        <f>'T1'!V37+'T2'!V38+'T3'!V38+'T4'!V38+'T5'!V38+'T6'!V38+'T7'!V36+'T8'!V36+'T9'!V36+'T10'!V36+'T11'!V36+'T12'!V36</f>
        <v>164140014.1525</v>
      </c>
      <c r="T37" s="69">
        <f>'T1'!W37+'T2'!W38+'T3'!W38+'T4'!W38+'T5'!W38+'T6'!W38+'T7'!W36+'T8'!W36+'T9'!W36+'T10'!W36+'T11'!W36+'T12'!W36</f>
        <v>132000000</v>
      </c>
      <c r="U37" s="69">
        <f>'T1'!X37+'T2'!X38+'T3'!X38+'T4'!X38+'T5'!X38+'T6'!X38+'T7'!X36+'T8'!X36+'T9'!X36+'T10'!X36+'T11'!X36+'T12'!X36</f>
        <v>26400000</v>
      </c>
      <c r="V37" s="69">
        <f>'T1'!Y37+'T2'!Y38+'T3'!Y38+'T4'!Y38+'T5'!Y38+'T6'!Y38+'T7'!Y36+'T8'!Y36+'T9'!Y36+'T10'!Y36+'T11'!Y36+'T12'!Y36</f>
        <v>8451684.8006250001</v>
      </c>
      <c r="W37" s="69">
        <f>'T1'!Z37+'T2'!Z38+'T3'!Z38+'T4'!Z38+'T5'!Z38+'T6'!Z38+'T7'!Z36+'T8'!Z36+'T9'!Z36+'T10'!Z36+'T11'!Z36+'T12'!Z36</f>
        <v>422584</v>
      </c>
      <c r="X37" s="69">
        <f t="shared" si="4"/>
        <v>0</v>
      </c>
      <c r="Y37" s="69">
        <f t="shared" si="5"/>
        <v>0</v>
      </c>
    </row>
    <row r="38" spans="1:25" s="86" customFormat="1" ht="21.75" customHeight="1" x14ac:dyDescent="0.25">
      <c r="A38" s="72">
        <v>25</v>
      </c>
      <c r="B38" s="73" t="s">
        <v>122</v>
      </c>
      <c r="C38" s="73" t="s">
        <v>123</v>
      </c>
      <c r="D38" s="32">
        <f>'T1'!K38</f>
        <v>15287499.539999999</v>
      </c>
      <c r="E38" s="75">
        <f>'T2'!K39</f>
        <v>15416961.855999999</v>
      </c>
      <c r="F38" s="76">
        <f>'T3'!K39</f>
        <v>14268747.648</v>
      </c>
      <c r="G38" s="76">
        <f>'T4'!K39</f>
        <v>13324108.5425</v>
      </c>
      <c r="H38" s="77">
        <f>'T5'!K39</f>
        <v>14108862.284125</v>
      </c>
      <c r="I38" s="77">
        <f>'T6'!K39</f>
        <v>13441914.470000001</v>
      </c>
      <c r="J38" s="76">
        <f>'T7'!K37</f>
        <v>0</v>
      </c>
      <c r="K38" s="78">
        <f>'T8'!K37</f>
        <v>0</v>
      </c>
      <c r="L38" s="79">
        <f>'T9'!K37</f>
        <v>0</v>
      </c>
      <c r="M38" s="80">
        <f>'T10'!K37</f>
        <v>0</v>
      </c>
      <c r="N38" s="79">
        <f>'T11'!K37</f>
        <v>0</v>
      </c>
      <c r="O38" s="79">
        <f>'T12'!K37</f>
        <v>0</v>
      </c>
      <c r="P38" s="40">
        <f>'T1'!O38+'T2'!O39+'T3'!O39+'T4'!O39+'T5'!O39+'T6'!O39+'T7'!O37+'T8'!O37+'T9'!O37+'T10'!O37+'T11'!O37+'T12'!O37</f>
        <v>4150692</v>
      </c>
      <c r="Q38" s="82">
        <f t="shared" si="6"/>
        <v>81697402.340625003</v>
      </c>
      <c r="R38" s="83"/>
      <c r="S38" s="84" t="e">
        <f>'T1'!#REF!+'T2'!V39+'T3'!V39+'T4'!V39+'T5'!V39+'T6'!V39+'T7'!V37+'T8'!V37+'T9'!V37+'T10'!V37+'T11'!V37+'T12'!V37</f>
        <v>#REF!</v>
      </c>
      <c r="T38" s="85" t="e">
        <f>'T1'!#REF!+'T2'!W39+'T3'!W39+'T4'!W39+'T5'!W39+'T6'!W39+'T7'!W37+'T8'!W37+'T9'!W37+'T10'!W37+'T11'!W37+'T12'!W37</f>
        <v>#REF!</v>
      </c>
      <c r="U38" s="85" t="e">
        <f>'T1'!#REF!+'T2'!X39+'T3'!X39+'T4'!X39+'T5'!X39+'T6'!X39+'T7'!X37+'T8'!X37+'T9'!X37+'T10'!X37+'T11'!X37+'T12'!X37</f>
        <v>#REF!</v>
      </c>
      <c r="V38" s="85" t="e">
        <f>'T1'!#REF!+'T2'!Y39+'T3'!Y39+'T4'!Y39+'T5'!Y39+'T6'!Y39+'T7'!Y37+'T8'!Y37+'T9'!Y37+'T10'!Y37+'T11'!Y37+'T12'!Y37</f>
        <v>#REF!</v>
      </c>
      <c r="W38" s="85" t="e">
        <f>'T1'!#REF!+'T2'!Z39+'T3'!Z39+'T4'!Z39+'T5'!Z39+'T6'!Z39+'T7'!Z37+'T8'!Z37+'T9'!Z37+'T10'!Z37+'T11'!Z37+'T12'!Z37</f>
        <v>#REF!</v>
      </c>
      <c r="X38" s="85" t="e">
        <f t="shared" si="4"/>
        <v>#REF!</v>
      </c>
      <c r="Y38" s="85" t="e">
        <f>X38*0.1</f>
        <v>#REF!</v>
      </c>
    </row>
    <row r="39" spans="1:25" s="26" customFormat="1" ht="21.75" customHeight="1" x14ac:dyDescent="0.25">
      <c r="A39" s="29">
        <v>25</v>
      </c>
      <c r="B39" s="30" t="s">
        <v>131</v>
      </c>
      <c r="C39" s="31" t="s">
        <v>29</v>
      </c>
      <c r="D39" s="32">
        <f>'T1'!K38</f>
        <v>15287499.539999999</v>
      </c>
      <c r="E39" s="58">
        <f>'T2'!K40</f>
        <v>17469773.017999999</v>
      </c>
      <c r="F39" s="34">
        <f>'T3'!K40</f>
        <v>12848741.145</v>
      </c>
      <c r="G39" s="34">
        <f>'T4'!K40</f>
        <v>16151542.249499999</v>
      </c>
      <c r="H39" s="35">
        <f>'T5'!K40</f>
        <v>0</v>
      </c>
      <c r="I39" s="35">
        <f>'T6'!K40</f>
        <v>0</v>
      </c>
      <c r="J39" s="34">
        <f>'T7'!K38</f>
        <v>14038168.155999999</v>
      </c>
      <c r="K39" s="37">
        <f>'T8'!K38</f>
        <v>14876903.458000001</v>
      </c>
      <c r="L39" s="38">
        <f>'T9'!K38</f>
        <v>13362833.816</v>
      </c>
      <c r="M39" s="39">
        <f>'T10'!K38</f>
        <v>13803022.007999999</v>
      </c>
      <c r="N39" s="38">
        <f>'T11'!K38</f>
        <v>14016811.1975</v>
      </c>
      <c r="O39" s="38">
        <f>'T12'!K38</f>
        <v>15550797.030000001</v>
      </c>
      <c r="P39" s="40">
        <f>'T1'!O38+'T2'!O40+'T3'!O40+'T4'!O40+'T5'!O40+'T6'!O40+'T7'!O38+'T8'!O38+'T9'!O38+'T10'!O38+'T11'!O38+'T12'!O38</f>
        <v>6738654</v>
      </c>
      <c r="Q39" s="61">
        <f t="shared" ref="Q39:Q42" si="7">SUM(D39:O39)-P39</f>
        <v>140667437.618</v>
      </c>
      <c r="R39" s="42"/>
      <c r="S39" s="68">
        <f>'T1'!V38+'T2'!V40+'T3'!V40+'T4'!V40+'T5'!V40+'T6'!V40+'T7'!V38+'T8'!V38+'T9'!V38+'T10'!V38+'T11'!V38+'T12'!V38</f>
        <v>140106091.618</v>
      </c>
      <c r="T39" s="69">
        <f>'T1'!W38+'T2'!W40+'T3'!W40+'T4'!W40+'T5'!W40+'T6'!W40+'T7'!W38+'T8'!W38+'T9'!W38+'T10'!W38+'T11'!W38+'T12'!W38</f>
        <v>110000000</v>
      </c>
      <c r="U39" s="69">
        <f>'T1'!X38+'T2'!X40+'T3'!X40+'T4'!X40+'T5'!X40+'T6'!X40+'T7'!X38+'T8'!X38+'T9'!X38+'T10'!X38+'T11'!X38+'T12'!X38</f>
        <v>0</v>
      </c>
      <c r="V39" s="69">
        <f>'T1'!Y38+'T2'!Y40+'T3'!Y40+'T4'!Y40+'T5'!Y40+'T6'!Y40+'T7'!Y38+'T8'!Y38+'T9'!Y38+'T10'!Y38+'T11'!Y38+'T12'!Y38</f>
        <v>23453627.617999993</v>
      </c>
      <c r="W39" s="69">
        <f>'T1'!Z38+'T2'!Z40+'T3'!Z40+'T4'!Z40+'T5'!Z40+'T6'!Z40+'T7'!Z38+'T8'!Z38+'T9'!Z38+'T10'!Z38+'T11'!Z38+'T12'!Z38</f>
        <v>1179504</v>
      </c>
      <c r="X39" s="69">
        <f t="shared" si="4"/>
        <v>23367437.618000001</v>
      </c>
      <c r="Y39" s="69">
        <f t="shared" si="5"/>
        <v>1168372</v>
      </c>
    </row>
    <row r="40" spans="1:25" s="26" customFormat="1" ht="21.75" customHeight="1" x14ac:dyDescent="0.25">
      <c r="A40" s="29">
        <v>25</v>
      </c>
      <c r="B40" s="30" t="s">
        <v>132</v>
      </c>
      <c r="C40" s="31" t="s">
        <v>29</v>
      </c>
      <c r="D40" s="32">
        <f>'T1'!K39</f>
        <v>15287499.539999999</v>
      </c>
      <c r="E40" s="58">
        <f>'T2'!K41</f>
        <v>0</v>
      </c>
      <c r="F40" s="34">
        <f>'T3'!K41</f>
        <v>0</v>
      </c>
      <c r="G40" s="34">
        <f>'T4'!K41</f>
        <v>0</v>
      </c>
      <c r="H40" s="35">
        <f>'T5'!K41</f>
        <v>0</v>
      </c>
      <c r="I40" s="35">
        <f>'T6'!K41</f>
        <v>0</v>
      </c>
      <c r="J40" s="34">
        <f>'T7'!K39</f>
        <v>14038168.155999999</v>
      </c>
      <c r="K40" s="37">
        <f>'T8'!K39</f>
        <v>14876903.458000001</v>
      </c>
      <c r="L40" s="38">
        <f>'T9'!K39</f>
        <v>13362833.816</v>
      </c>
      <c r="M40" s="39">
        <f>'T10'!K39</f>
        <v>13803022.007999999</v>
      </c>
      <c r="N40" s="38">
        <f>'T11'!K39</f>
        <v>14016811.1975</v>
      </c>
      <c r="O40" s="38">
        <f>'T12'!K39</f>
        <v>15550797.030000001</v>
      </c>
      <c r="P40" s="40">
        <f>'T1'!O39+'T2'!O41+'T3'!O41+'T4'!O41+'T5'!O41+'T6'!O41+'T7'!O39+'T8'!O39+'T9'!O39+'T10'!O39+'T11'!O39+'T12'!O39</f>
        <v>4842474</v>
      </c>
      <c r="Q40" s="61">
        <f t="shared" si="7"/>
        <v>96093561.205500007</v>
      </c>
      <c r="R40" s="42"/>
      <c r="S40" s="68">
        <f>'T1'!V39+'T2'!V41+'T3'!V41+'T4'!V41+'T5'!V41+'T6'!V41+'T7'!V39+'T8'!V39+'T9'!V39+'T10'!V39+'T11'!V39+'T12'!V39</f>
        <v>95826035.205500007</v>
      </c>
      <c r="T40" s="69">
        <f>'T1'!W39+'T2'!W41+'T3'!W41+'T4'!W41+'T5'!W41+'T6'!W41+'T7'!W39+'T8'!W39+'T9'!W39+'T10'!W39+'T11'!W39+'T12'!W39</f>
        <v>77000000</v>
      </c>
      <c r="U40" s="69">
        <f>'T1'!X39+'T2'!X41+'T3'!X41+'T4'!X41+'T5'!X41+'T6'!X41+'T7'!X39+'T8'!X39+'T9'!X39+'T10'!X39+'T11'!X39+'T12'!X39</f>
        <v>0</v>
      </c>
      <c r="V40" s="69">
        <f>'T1'!Y39+'T2'!Y41+'T3'!Y41+'T4'!Y41+'T5'!Y41+'T6'!Y41+'T7'!Y39+'T8'!Y39+'T9'!Y39+'T10'!Y39+'T11'!Y39+'T12'!Y39</f>
        <v>13983561.205499999</v>
      </c>
      <c r="W40" s="69">
        <f>'T1'!Z39+'T2'!Z41+'T3'!Z41+'T4'!Z41+'T5'!Z41+'T6'!Z41+'T7'!Z39+'T8'!Z39+'T9'!Z39+'T10'!Z39+'T11'!Z39+'T12'!Z39</f>
        <v>699178</v>
      </c>
      <c r="X40" s="69">
        <f t="shared" si="4"/>
        <v>13983561.205500007</v>
      </c>
      <c r="Y40" s="69">
        <f t="shared" si="5"/>
        <v>699178</v>
      </c>
    </row>
    <row r="41" spans="1:25" s="26" customFormat="1" ht="21.75" customHeight="1" x14ac:dyDescent="0.25">
      <c r="A41" s="29">
        <v>25</v>
      </c>
      <c r="B41" s="63" t="s">
        <v>133</v>
      </c>
      <c r="C41" s="31" t="s">
        <v>30</v>
      </c>
      <c r="D41" s="32">
        <f>'T1'!K40</f>
        <v>16230454.239</v>
      </c>
      <c r="E41" s="58">
        <f>'T2'!K48</f>
        <v>72553600</v>
      </c>
      <c r="F41" s="34">
        <f>'T3'!K48</f>
        <v>62320600</v>
      </c>
      <c r="G41" s="34">
        <f>'T4'!K42</f>
        <v>16151542.249499999</v>
      </c>
      <c r="H41" s="35">
        <f>'T5'!K42</f>
        <v>15275386.953</v>
      </c>
      <c r="I41" s="35">
        <f>'T6'!K42</f>
        <v>15284891.67</v>
      </c>
      <c r="J41" s="34">
        <f>'T7'!K40</f>
        <v>0</v>
      </c>
      <c r="K41" s="37">
        <f>'T8'!K40</f>
        <v>0</v>
      </c>
      <c r="L41" s="38">
        <f>'T9'!K40</f>
        <v>0</v>
      </c>
      <c r="M41" s="39">
        <f>'T10'!K40</f>
        <v>0</v>
      </c>
      <c r="N41" s="38">
        <f>'T11'!K40</f>
        <v>0</v>
      </c>
      <c r="O41" s="38">
        <f>'T12'!K40</f>
        <v>0</v>
      </c>
      <c r="P41" s="40">
        <f>'T1'!O40+'T2'!O48+'T3'!O48+'T4'!O42+'T5'!O42+'T6'!O42+'T7'!O40+'T8'!O40+'T9'!O40+'T10'!O40+'T11'!O40+'T12'!O40</f>
        <v>10508700</v>
      </c>
      <c r="Q41" s="61">
        <f t="shared" si="7"/>
        <v>187307775.11149999</v>
      </c>
      <c r="R41" s="42"/>
      <c r="S41" s="68">
        <f>'T1'!V40+'T2'!V48+'T3'!V48+'T4'!V42+'T5'!V42+'T6'!V42+'T7'!V40+'T8'!V40+'T9'!V40+'T10'!V40+'T11'!V40+'T12'!V40</f>
        <v>185406475.11149999</v>
      </c>
      <c r="T41" s="69">
        <f>'T1'!W40+'T2'!W48+'T3'!W48+'T4'!W42+'T5'!W42+'T6'!W42+'T7'!W40+'T8'!W40+'T9'!W40+'T10'!W40+'T11'!W40+'T12'!W40</f>
        <v>187000000</v>
      </c>
      <c r="U41" s="69">
        <f>'T1'!X40+'T2'!X48+'T3'!X48+'T4'!X42+'T5'!X42+'T6'!X42+'T7'!X40+'T8'!X40+'T9'!X40+'T10'!X40+'T11'!X40+'T12'!X40</f>
        <v>8800000</v>
      </c>
      <c r="V41" s="69">
        <f>'T1'!Y40+'T2'!Y48+'T3'!Y48+'T4'!Y42+'T5'!Y42+'T6'!Y42+'T7'!Y40+'T8'!Y40+'T9'!Y40+'T10'!Y40+'T11'!Y40+'T12'!Y40</f>
        <v>13608955.111499999</v>
      </c>
      <c r="W41" s="69">
        <f>'T1'!Z40+'T2'!Z48+'T3'!Z48+'T4'!Z42+'T5'!Z42+'T6'!Z42+'T7'!Z40+'T8'!Z40+'T9'!Z40+'T10'!Z40+'T11'!Z40+'T12'!Z40</f>
        <v>680448</v>
      </c>
      <c r="X41" s="69">
        <f t="shared" si="4"/>
        <v>0</v>
      </c>
      <c r="Y41" s="69">
        <f t="shared" si="5"/>
        <v>0</v>
      </c>
    </row>
    <row r="42" spans="1:25" s="86" customFormat="1" ht="21.75" customHeight="1" x14ac:dyDescent="0.25">
      <c r="A42" s="72">
        <v>25</v>
      </c>
      <c r="B42" s="73" t="s">
        <v>134</v>
      </c>
      <c r="C42" s="73" t="s">
        <v>123</v>
      </c>
      <c r="D42" s="74">
        <f>'T1'!K41</f>
        <v>20000000</v>
      </c>
      <c r="E42" s="75">
        <f>'T2'!K49</f>
        <v>10032400</v>
      </c>
      <c r="F42" s="76">
        <f>'T3'!K49</f>
        <v>10032400</v>
      </c>
      <c r="G42" s="76">
        <f>'T4'!K48</f>
        <v>62320600</v>
      </c>
      <c r="H42" s="77">
        <f>'T5'!K43</f>
        <v>15986382.604</v>
      </c>
      <c r="I42" s="77">
        <f>'T6'!K43</f>
        <v>15999055.560000001</v>
      </c>
      <c r="J42" s="76">
        <f>'T7'!K41</f>
        <v>0</v>
      </c>
      <c r="K42" s="78">
        <f>'T8'!K41</f>
        <v>0</v>
      </c>
      <c r="L42" s="79">
        <f>'T9'!K41</f>
        <v>0</v>
      </c>
      <c r="M42" s="80">
        <f>'T10'!K41</f>
        <v>0</v>
      </c>
      <c r="N42" s="79">
        <f>'T11'!K41</f>
        <v>0</v>
      </c>
      <c r="O42" s="79">
        <f>'T12'!K41</f>
        <v>0</v>
      </c>
      <c r="P42" s="81">
        <f>'T1'!O41+'T2'!O49+'T3'!O49+'T4'!O48+'T5'!O43+'T6'!O43+'T7'!O41+'T8'!O41+'T9'!O41+'T10'!O41+'T11'!O41+'T12'!O41</f>
        <v>6251028</v>
      </c>
      <c r="Q42" s="82">
        <f t="shared" si="7"/>
        <v>128119810.164</v>
      </c>
      <c r="R42" s="83"/>
      <c r="S42" s="84">
        <f>'T1'!V41+'T2'!V49+'T3'!V49+'T4'!V48+'T5'!V43+'T6'!V43+'T7'!V41+'T8'!V41+'T9'!V41+'T10'!V41+'T11'!V41+'T12'!V41</f>
        <v>127070838.164</v>
      </c>
      <c r="T42" s="85">
        <f>'T1'!W41+'T2'!W49+'T3'!W49+'T4'!W48+'T5'!W43+'T6'!W43+'T7'!W41+'T8'!W41+'T9'!W41+'T10'!W41+'T11'!W41+'T12'!W41</f>
        <v>110000000</v>
      </c>
      <c r="U42" s="85">
        <f>'T1'!X41+'T2'!X49+'T3'!X49+'T4'!X48+'T5'!X43+'T6'!X43+'T7'!X41+'T8'!X41+'T9'!X41+'T10'!X41+'T11'!X41+'T12'!X41</f>
        <v>4400000</v>
      </c>
      <c r="V42" s="85">
        <f>'T1'!Y41+'T2'!Y49+'T3'!Y49+'T4'!Y48+'T5'!Y43+'T6'!Y43+'T7'!Y41+'T8'!Y41+'T9'!Y41+'T10'!Y41+'T11'!Y41+'T12'!Y41</f>
        <v>27141874.164000005</v>
      </c>
      <c r="W42" s="85">
        <f>'T1'!Z41+'T2'!Z49+'T3'!Z49+'T4'!Z48+'T5'!Z43+'T6'!Z43+'T7'!Z41+'T8'!Z41+'T9'!Z41+'T10'!Z41+'T11'!Z41+'T12'!Z41</f>
        <v>2357094</v>
      </c>
      <c r="X42" s="85">
        <f t="shared" si="4"/>
        <v>6419810.1640000045</v>
      </c>
      <c r="Y42" s="85">
        <f>X42*0.1</f>
        <v>641981.01640000055</v>
      </c>
    </row>
    <row r="43" spans="1:25" s="53" customFormat="1" ht="21.75" customHeight="1" x14ac:dyDescent="0.25">
      <c r="A43" s="112" t="s">
        <v>38</v>
      </c>
      <c r="B43" s="113"/>
      <c r="C43" s="114"/>
      <c r="D43" s="50" t="e">
        <f>SUM(D44:D52)</f>
        <v>#REF!</v>
      </c>
      <c r="E43" s="50">
        <f t="shared" ref="E43:Y43" si="8">SUM(E44:E52)</f>
        <v>530478346.84900004</v>
      </c>
      <c r="F43" s="50">
        <f t="shared" si="8"/>
        <v>446629243.01999998</v>
      </c>
      <c r="G43" s="50">
        <f t="shared" si="8"/>
        <v>514292173.42050004</v>
      </c>
      <c r="H43" s="50">
        <f t="shared" si="8"/>
        <v>159440165.208</v>
      </c>
      <c r="I43" s="50">
        <f t="shared" si="8"/>
        <v>124031612.795</v>
      </c>
      <c r="J43" s="50">
        <f t="shared" si="8"/>
        <v>133373770.142</v>
      </c>
      <c r="K43" s="50">
        <f t="shared" si="8"/>
        <v>121288910.46900001</v>
      </c>
      <c r="L43" s="50">
        <f t="shared" si="8"/>
        <v>121378599.668</v>
      </c>
      <c r="M43" s="50">
        <f t="shared" si="8"/>
        <v>119496786.22400001</v>
      </c>
      <c r="N43" s="50">
        <f t="shared" si="8"/>
        <v>132721494.15540481</v>
      </c>
      <c r="O43" s="50">
        <f t="shared" si="8"/>
        <v>120574016.4151516</v>
      </c>
      <c r="P43" s="50" t="e">
        <f t="shared" si="8"/>
        <v>#REF!</v>
      </c>
      <c r="Q43" s="50" t="e">
        <f t="shared" si="8"/>
        <v>#REF!</v>
      </c>
      <c r="R43" s="50">
        <f t="shared" si="8"/>
        <v>0</v>
      </c>
      <c r="S43" s="50" t="e">
        <f t="shared" si="8"/>
        <v>#REF!</v>
      </c>
      <c r="T43" s="50" t="e">
        <f t="shared" si="8"/>
        <v>#REF!</v>
      </c>
      <c r="U43" s="50" t="e">
        <f t="shared" si="8"/>
        <v>#REF!</v>
      </c>
      <c r="V43" s="50" t="e">
        <f t="shared" si="8"/>
        <v>#REF!</v>
      </c>
      <c r="W43" s="50" t="e">
        <f t="shared" si="8"/>
        <v>#REF!</v>
      </c>
      <c r="X43" s="50" t="e">
        <f t="shared" si="8"/>
        <v>#REF!</v>
      </c>
      <c r="Y43" s="50" t="e">
        <f t="shared" si="8"/>
        <v>#REF!</v>
      </c>
    </row>
    <row r="44" spans="1:25" s="26" customFormat="1" ht="21.75" customHeight="1" x14ac:dyDescent="0.25">
      <c r="A44" s="29">
        <v>26</v>
      </c>
      <c r="B44" s="30" t="s">
        <v>42</v>
      </c>
      <c r="C44" s="31" t="s">
        <v>41</v>
      </c>
      <c r="D44" s="32">
        <f>'T1'!K49</f>
        <v>10032400</v>
      </c>
      <c r="E44" s="58">
        <f>'T2'!K51</f>
        <v>10233000</v>
      </c>
      <c r="F44" s="34">
        <f>'T3'!K51</f>
        <v>0</v>
      </c>
      <c r="G44" s="34">
        <f>'T4'!K50</f>
        <v>10542400</v>
      </c>
      <c r="H44" s="35">
        <f>'T5'!K45</f>
        <v>15986382.604</v>
      </c>
      <c r="I44" s="35">
        <f>'T6'!K45</f>
        <v>15999055.560000001</v>
      </c>
      <c r="J44" s="34">
        <f>'T7'!K43</f>
        <v>15566628.688000001</v>
      </c>
      <c r="K44" s="37">
        <f>'T8'!K43</f>
        <v>0</v>
      </c>
      <c r="L44" s="38">
        <f>'T9'!K43</f>
        <v>0</v>
      </c>
      <c r="M44" s="39">
        <f>'T10'!K43</f>
        <v>0</v>
      </c>
      <c r="N44" s="38">
        <f>'T11'!K43</f>
        <v>11031200</v>
      </c>
      <c r="O44" s="38">
        <f>'T12'!K43</f>
        <v>0</v>
      </c>
      <c r="P44" s="40">
        <f>'T1'!O49+'T2'!O51+'T3'!O51+'T4'!O50+'T5'!O45+'T6'!O45+'T7'!O43+'T8'!O43+'T9'!O43+'T10'!O43+'T11'!O43+'T12'!O43</f>
        <v>4674732</v>
      </c>
      <c r="Q44" s="61">
        <f>SUM(D44:O44)-P44</f>
        <v>84716334.851999998</v>
      </c>
      <c r="R44" s="42"/>
      <c r="S44" s="68">
        <f>'T1'!V49+'T2'!V51+'T3'!V51+'T4'!V50+'T5'!V45+'T6'!V45+'T7'!V43+'T8'!V43+'T9'!V43+'T10'!V43+'T11'!V43+'T12'!V43</f>
        <v>84281066.851999998</v>
      </c>
      <c r="T44" s="69">
        <f>'T1'!W49+'T2'!W51+'T3'!W51+'T4'!W50+'T5'!W45+'T6'!W45+'T7'!W43+'T8'!W43+'T9'!W43+'T10'!W43+'T11'!W43+'T12'!W43</f>
        <v>121000000</v>
      </c>
      <c r="U44" s="69">
        <f>'T1'!X49+'T2'!X51+'T3'!X51+'T4'!X50+'T5'!X45+'T6'!X45+'T7'!X43+'T8'!X43+'T9'!X43+'T10'!X43+'T11'!X43+'T12'!X43</f>
        <v>4400000</v>
      </c>
      <c r="V44" s="69">
        <f>'T1'!Y49+'T2'!Y51+'T3'!Y51+'T4'!Y50+'T5'!Y45+'T6'!Y45+'T7'!Y43+'T8'!Y43+'T9'!Y43+'T10'!Y43+'T11'!Y43+'T12'!Y43</f>
        <v>10286720.852000002</v>
      </c>
      <c r="W44" s="69">
        <f>'T1'!Z49+'T2'!Z51+'T3'!Z51+'T4'!Z50+'T5'!Z45+'T6'!Z45+'T7'!Z43+'T8'!Z43+'T9'!Z43+'T10'!Z43+'T11'!Z43+'T12'!Z43</f>
        <v>514336</v>
      </c>
      <c r="X44" s="69">
        <f t="shared" ref="X44:X51" si="9">MAX(S44-T44-U44-P44,0)</f>
        <v>0</v>
      </c>
      <c r="Y44" s="69">
        <f t="shared" ref="Y44:Y51" si="10">ROUND(IF(X44&gt;960000000,((X44-960000000)*0.35+217800000),IF(AND(X44&gt;624000000,X44&lt;=624000000),((X44-624000000)*0.3+1170000000),IF(AND(X44&gt;384000000,X44&lt;=624000000),((X44-32000000)*0.25+4750000),IF(AND(X44&gt;216000000,X44&lt;=384000000),((X44-216000000)*0.2+23400000),IF(AND(X44&gt;120000000,X44&lt;=216000000),((X44-120000000)*0.15+9000000),IF(AND(X44&gt;60000000,X44&lt;=120000000),((X44-60000000)*0.1+3000000),(X44*0.05))))))),0)</f>
        <v>0</v>
      </c>
    </row>
    <row r="45" spans="1:25" s="26" customFormat="1" ht="21.75" customHeight="1" x14ac:dyDescent="0.2">
      <c r="A45" s="29">
        <v>27</v>
      </c>
      <c r="B45" s="30" t="s">
        <v>79</v>
      </c>
      <c r="C45" s="31" t="s">
        <v>40</v>
      </c>
      <c r="D45" s="32">
        <f>'T1'!K50</f>
        <v>10542400</v>
      </c>
      <c r="E45" s="58">
        <f>'T2'!K52</f>
        <v>10828400</v>
      </c>
      <c r="F45" s="34">
        <f>'T3'!K52</f>
        <v>10828400</v>
      </c>
      <c r="G45" s="34">
        <f>'T4'!K51</f>
        <v>0</v>
      </c>
      <c r="H45" s="35">
        <f>'T5'!K46</f>
        <v>16514182.604</v>
      </c>
      <c r="I45" s="35">
        <f>'T6'!K46</f>
        <v>12764357.234999999</v>
      </c>
      <c r="J45" s="34">
        <f>'T7'!K44</f>
        <v>15566628.688000001</v>
      </c>
      <c r="K45" s="37">
        <f>'T8'!K44</f>
        <v>17097829.370000001</v>
      </c>
      <c r="L45" s="38">
        <f>'T9'!K44</f>
        <v>17521191.379999999</v>
      </c>
      <c r="M45" s="39">
        <f>'T10'!K44</f>
        <v>16470237.609999999</v>
      </c>
      <c r="N45" s="38">
        <f>'T11'!K44</f>
        <v>17513544.278327402</v>
      </c>
      <c r="O45" s="38">
        <f>'T12'!K44</f>
        <v>16571908.9500758</v>
      </c>
      <c r="P45" s="40">
        <f>'T1'!O50+'T2'!O52+'T3'!O52+'T4'!O51+'T5'!O46+'T6'!O46+'T7'!O44+'T8'!O44+'T9'!O44+'T10'!O44+'T11'!O44+'T12'!O44</f>
        <v>7315581</v>
      </c>
      <c r="Q45" s="61">
        <f t="shared" ref="Q45:Q52" si="11">SUM(D45:O45)-P45</f>
        <v>154903499.11540321</v>
      </c>
      <c r="R45" s="49"/>
      <c r="S45" s="68">
        <f>'T1'!V50+'T2'!V52+'T3'!V52+'T4'!V51+'T5'!V46+'T6'!V46+'T7'!V44+'T8'!V44+'T9'!V44+'T10'!V44+'T11'!V44+'T12'!V44</f>
        <v>154189080.11540321</v>
      </c>
      <c r="T45" s="69">
        <f>'T1'!W50+'T2'!W52+'T3'!W52+'T4'!W51+'T5'!W46+'T6'!W46+'T7'!W44+'T8'!W44+'T9'!W44+'T10'!W44+'T11'!W44+'T12'!W44</f>
        <v>121000000</v>
      </c>
      <c r="U45" s="69">
        <f>'T1'!X50+'T2'!X52+'T3'!X52+'T4'!X51+'T5'!X46+'T6'!X46+'T7'!X44+'T8'!X44+'T9'!X44+'T10'!X44+'T11'!X44+'T12'!X44</f>
        <v>4400000</v>
      </c>
      <c r="V45" s="69">
        <f>'T1'!Y50+'T2'!Y52+'T3'!Y52+'T4'!Y51+'T5'!Y46+'T6'!Y46+'T7'!Y44+'T8'!Y44+'T9'!Y44+'T10'!Y44+'T11'!Y44+'T12'!Y44</f>
        <v>30822528.115403205</v>
      </c>
      <c r="W45" s="69">
        <f>'T1'!Z50+'T2'!Z52+'T3'!Z52+'T4'!Z51+'T5'!Z46+'T6'!Z46+'T7'!Z44+'T8'!Z44+'T9'!Z44+'T10'!Z44+'T11'!Z44+'T12'!Z44</f>
        <v>1550684</v>
      </c>
      <c r="X45" s="69">
        <f t="shared" si="9"/>
        <v>21473499.115403205</v>
      </c>
      <c r="Y45" s="69">
        <f t="shared" si="10"/>
        <v>1073675</v>
      </c>
    </row>
    <row r="46" spans="1:25" s="26" customFormat="1" ht="17.25" customHeight="1" x14ac:dyDescent="0.25">
      <c r="A46" s="29">
        <v>28</v>
      </c>
      <c r="B46" s="30" t="s">
        <v>81</v>
      </c>
      <c r="C46" s="31" t="s">
        <v>41</v>
      </c>
      <c r="D46" s="32">
        <f>'T1'!K51</f>
        <v>10233000</v>
      </c>
      <c r="E46" s="58">
        <f>'T2'!K53</f>
        <v>10828400</v>
      </c>
      <c r="F46" s="34">
        <f>'T3'!K53</f>
        <v>10828400</v>
      </c>
      <c r="G46" s="34">
        <f>'T4'!K52</f>
        <v>10828400</v>
      </c>
      <c r="H46" s="35">
        <f>'T5'!K48</f>
        <v>73879600</v>
      </c>
      <c r="I46" s="35">
        <f>'T6'!K48</f>
        <v>52750600</v>
      </c>
      <c r="J46" s="34">
        <f>'T7'!K45</f>
        <v>15566628.688000001</v>
      </c>
      <c r="K46" s="37">
        <f>'T8'!K45</f>
        <v>17097829.370000001</v>
      </c>
      <c r="L46" s="38">
        <f>'T9'!K45</f>
        <v>17521191.379999999</v>
      </c>
      <c r="M46" s="39">
        <f>'T10'!K45</f>
        <v>16470237.609999999</v>
      </c>
      <c r="N46" s="38">
        <f>'T11'!K45</f>
        <v>17513544.278327402</v>
      </c>
      <c r="O46" s="38">
        <f>'T12'!K45</f>
        <v>16571908.9500758</v>
      </c>
      <c r="P46" s="40">
        <f>'T1'!O51+'T2'!O53+'T3'!O53+'T4'!O52+'T5'!O48+'T6'!O48+'T7'!O45+'T8'!O45+'T9'!O45+'T10'!O45+'T11'!O45+'T12'!O45</f>
        <v>14299305</v>
      </c>
      <c r="Q46" s="61">
        <f t="shared" si="11"/>
        <v>255790435.27640319</v>
      </c>
      <c r="R46" s="42"/>
      <c r="S46" s="68">
        <f>'T1'!V51+'T2'!V53+'T3'!V53+'T4'!V52+'T5'!V48+'T6'!V48+'T7'!V45+'T8'!V45+'T9'!V45+'T10'!V45+'T11'!V45+'T12'!V45</f>
        <v>254029740.27640319</v>
      </c>
      <c r="T46" s="69">
        <f>'T1'!W51+'T2'!W53+'T3'!W53+'T4'!W52+'T5'!W48+'T6'!W48+'T7'!W45+'T8'!W45+'T9'!W45+'T10'!W45+'T11'!W45+'T12'!W45</f>
        <v>242000000</v>
      </c>
      <c r="U46" s="69">
        <f>'T1'!X51+'T2'!X53+'T3'!X53+'T4'!X52+'T5'!X48+'T6'!X48+'T7'!X45+'T8'!X45+'T9'!X45+'T10'!X45+'T11'!X45+'T12'!X45</f>
        <v>4400000</v>
      </c>
      <c r="V46" s="69">
        <f>'T1'!Y51+'T2'!Y53+'T3'!Y53+'T4'!Y52+'T5'!Y48+'T6'!Y48+'T7'!Y45+'T8'!Y45+'T9'!Y45+'T10'!Y45+'T11'!Y45+'T12'!Y45</f>
        <v>26210648.276403204</v>
      </c>
      <c r="W46" s="69">
        <f>'T1'!Z51+'T2'!Z53+'T3'!Z53+'T4'!Z52+'T5'!Z48+'T6'!Z48+'T7'!Z45+'T8'!Z45+'T9'!Z45+'T10'!Z45+'T11'!Z45+'T12'!Z45</f>
        <v>1320090</v>
      </c>
      <c r="X46" s="69">
        <f t="shared" si="9"/>
        <v>0</v>
      </c>
      <c r="Y46" s="69">
        <f t="shared" si="10"/>
        <v>0</v>
      </c>
    </row>
    <row r="47" spans="1:25" s="26" customFormat="1" ht="17.25" customHeight="1" x14ac:dyDescent="0.25">
      <c r="A47" s="29">
        <v>29</v>
      </c>
      <c r="B47" s="30" t="s">
        <v>100</v>
      </c>
      <c r="C47" s="31" t="s">
        <v>111</v>
      </c>
      <c r="D47" s="32" t="e">
        <f>'T1'!#REF!</f>
        <v>#REF!</v>
      </c>
      <c r="E47" s="58">
        <f>'T2'!K54</f>
        <v>10828400</v>
      </c>
      <c r="F47" s="34">
        <f>'T3'!K54</f>
        <v>10828400</v>
      </c>
      <c r="G47" s="34">
        <f>'T4'!K53</f>
        <v>10828400</v>
      </c>
      <c r="H47" s="35">
        <f>'T5'!K49</f>
        <v>10032400</v>
      </c>
      <c r="I47" s="35">
        <f>'T6'!K49</f>
        <v>10032400</v>
      </c>
      <c r="J47" s="34">
        <f>'T7'!K46</f>
        <v>13062484.078</v>
      </c>
      <c r="K47" s="37">
        <f>'T8'!K46</f>
        <v>13481851.729</v>
      </c>
      <c r="L47" s="38">
        <f>'T9'!K46</f>
        <v>12724816.908</v>
      </c>
      <c r="M47" s="39">
        <f>'T10'!K46</f>
        <v>12944911.004000001</v>
      </c>
      <c r="N47" s="38">
        <f>'T11'!K46</f>
        <v>13051805.598750001</v>
      </c>
      <c r="O47" s="38">
        <f>'T12'!K46</f>
        <v>13818798.515000001</v>
      </c>
      <c r="P47" s="40" t="e">
        <f>'T1'!#REF!+'T2'!O54+'T3'!O54+'T4'!O53+'T5'!O49+'T6'!O49+'T7'!O46+'T8'!O46+'T9'!O46+'T10'!O46+'T11'!O46+'T12'!O46</f>
        <v>#REF!</v>
      </c>
      <c r="Q47" s="61" t="e">
        <f t="shared" si="11"/>
        <v>#REF!</v>
      </c>
      <c r="R47" s="42"/>
      <c r="S47" s="68" t="e">
        <f>'T1'!#REF!+'T2'!V54+'T3'!V54+'T4'!V53+'T5'!V49+'T6'!V49+'T7'!V46+'T8'!V46+'T9'!V46+'T10'!V46+'T11'!V46+'T12'!V46</f>
        <v>#REF!</v>
      </c>
      <c r="T47" s="69" t="e">
        <f>'T1'!#REF!+'T2'!W54+'T3'!W54+'T4'!W53+'T5'!W49+'T6'!W49+'T7'!W46+'T8'!W46+'T9'!W46+'T10'!W46+'T11'!W46+'T12'!W46</f>
        <v>#REF!</v>
      </c>
      <c r="U47" s="69" t="e">
        <f>'T1'!#REF!+'T2'!X54+'T3'!X54+'T4'!X53+'T5'!X49+'T6'!X49+'T7'!X46+'T8'!X46+'T9'!X46+'T10'!X46+'T11'!X46+'T12'!X46</f>
        <v>#REF!</v>
      </c>
      <c r="V47" s="69" t="e">
        <f>'T1'!#REF!+'T2'!Y54+'T3'!Y54+'T4'!Y53+'T5'!Y49+'T6'!Y49+'T7'!Y46+'T8'!Y46+'T9'!Y46+'T10'!Y46+'T11'!Y46+'T12'!Y46</f>
        <v>#REF!</v>
      </c>
      <c r="W47" s="69" t="e">
        <f>'T1'!#REF!+'T2'!Z54+'T3'!Z54+'T4'!Z53+'T5'!Z49+'T6'!Z49+'T7'!Z46+'T8'!Z46+'T9'!Z46+'T10'!Z46+'T11'!Z46+'T12'!Z46</f>
        <v>#REF!</v>
      </c>
      <c r="X47" s="69" t="e">
        <f t="shared" si="9"/>
        <v>#REF!</v>
      </c>
      <c r="Y47" s="69" t="e">
        <f t="shared" si="10"/>
        <v>#REF!</v>
      </c>
    </row>
    <row r="48" spans="1:25" s="26" customFormat="1" ht="17.25" customHeight="1" x14ac:dyDescent="0.25">
      <c r="A48" s="29">
        <v>30</v>
      </c>
      <c r="B48" s="64" t="s">
        <v>105</v>
      </c>
      <c r="C48" s="31" t="s">
        <v>40</v>
      </c>
      <c r="D48" s="32">
        <f>'T1'!K52</f>
        <v>10828400</v>
      </c>
      <c r="E48" s="58">
        <f>'T2'!K55</f>
        <v>9260600</v>
      </c>
      <c r="F48" s="34">
        <f>'T3'!K55</f>
        <v>9260600</v>
      </c>
      <c r="G48" s="34">
        <f>'T4'!K54</f>
        <v>10828400</v>
      </c>
      <c r="H48" s="35">
        <f>'T5'!K50</f>
        <v>10542400</v>
      </c>
      <c r="I48" s="35">
        <f>'T6'!K50</f>
        <v>0</v>
      </c>
      <c r="J48" s="34">
        <f>'T7'!K48</f>
        <v>52750600</v>
      </c>
      <c r="K48" s="37">
        <f>'T8'!K48</f>
        <v>52750600</v>
      </c>
      <c r="L48" s="38">
        <f>'T9'!K48</f>
        <v>52750600</v>
      </c>
      <c r="M48" s="39">
        <f>'T10'!K50</f>
        <v>52750600</v>
      </c>
      <c r="N48" s="38">
        <f>'T11'!K50</f>
        <v>52750600</v>
      </c>
      <c r="O48" s="38">
        <f>'T12'!K50</f>
        <v>52750600</v>
      </c>
      <c r="P48" s="40">
        <f>'T1'!O52+'T2'!O55+'T3'!O55+'T4'!O54+'T5'!O50+'T6'!O50+'T7'!O48+'T8'!O48+'T9'!O48+'T10'!O50+'T11'!O50+'T12'!O50</f>
        <v>21975975</v>
      </c>
      <c r="Q48" s="61">
        <f t="shared" si="11"/>
        <v>345248025</v>
      </c>
      <c r="R48" s="42"/>
      <c r="S48" s="68">
        <f>'T1'!V52+'T2'!V55+'T3'!V55+'T4'!V54+'T5'!V50+'T6'!V50+'T7'!V48+'T8'!V48+'T9'!V48+'T10'!V50+'T11'!V50+'T12'!V50</f>
        <v>341674000</v>
      </c>
      <c r="T48" s="69">
        <f>'T1'!W52+'T2'!W55+'T3'!W55+'T4'!W54+'T5'!W50+'T6'!W50+'T7'!W48+'T8'!W48+'T9'!W48+'T10'!W50+'T11'!W50+'T12'!W50</f>
        <v>385000000</v>
      </c>
      <c r="U48" s="69">
        <f>'T1'!X52+'T2'!X55+'T3'!X55+'T4'!X54+'T5'!X50+'T6'!X50+'T7'!X48+'T8'!X48+'T9'!X48+'T10'!X50+'T11'!X50+'T12'!X50</f>
        <v>8800000</v>
      </c>
      <c r="V48" s="69">
        <f>'T1'!Y52+'T2'!Y55+'T3'!Y55+'T4'!Y54+'T5'!Y50+'T6'!Y50+'T7'!Y48+'T8'!Y48+'T9'!Y48+'T10'!Y50+'T11'!Y50+'T12'!Y50</f>
        <v>0</v>
      </c>
      <c r="W48" s="69">
        <f>'T1'!Z52+'T2'!Z55+'T3'!Z55+'T4'!Z54+'T5'!Z50+'T6'!Z50+'T7'!Z48+'T8'!Z48+'T9'!Z48+'T10'!Z50+'T11'!Z50+'T12'!Z50</f>
        <v>0</v>
      </c>
      <c r="X48" s="69">
        <f t="shared" si="9"/>
        <v>0</v>
      </c>
      <c r="Y48" s="69">
        <f t="shared" si="10"/>
        <v>0</v>
      </c>
    </row>
    <row r="49" spans="1:25" s="26" customFormat="1" ht="17.25" customHeight="1" x14ac:dyDescent="0.25">
      <c r="A49" s="29">
        <v>31</v>
      </c>
      <c r="B49" s="30" t="s">
        <v>106</v>
      </c>
      <c r="C49" s="31" t="s">
        <v>40</v>
      </c>
      <c r="D49" s="32" t="e">
        <f>'T1'!#REF!</f>
        <v>#REF!</v>
      </c>
      <c r="E49" s="58">
        <f>'T2'!K57</f>
        <v>478499546.84900004</v>
      </c>
      <c r="F49" s="34">
        <f>'T3'!K57</f>
        <v>404883443.01999998</v>
      </c>
      <c r="G49" s="34">
        <f>'T4'!K55</f>
        <v>9260600</v>
      </c>
      <c r="H49" s="35">
        <f>'T5'!K51</f>
        <v>0</v>
      </c>
      <c r="I49" s="35">
        <f>'T6'!K51</f>
        <v>0</v>
      </c>
      <c r="J49" s="34">
        <f>'T7'!K49</f>
        <v>10032400</v>
      </c>
      <c r="K49" s="37">
        <f>'T8'!K49</f>
        <v>10032400</v>
      </c>
      <c r="L49" s="38">
        <f>'T9'!K49</f>
        <v>10032400</v>
      </c>
      <c r="M49" s="39">
        <f>'T10'!K51</f>
        <v>10032400</v>
      </c>
      <c r="N49" s="38">
        <f>'T11'!K51</f>
        <v>10032400</v>
      </c>
      <c r="O49" s="38">
        <f>'T12'!K51</f>
        <v>10032400</v>
      </c>
      <c r="P49" s="40" t="e">
        <f>'T1'!#REF!+'T2'!O57+'T3'!O57+'T4'!O55+'T5'!O51+'T6'!O51+'T7'!O49+'T8'!O49+'T9'!O49+'T10'!O51+'T11'!O51+'T12'!O51</f>
        <v>#REF!</v>
      </c>
      <c r="Q49" s="61" t="e">
        <f t="shared" si="11"/>
        <v>#REF!</v>
      </c>
      <c r="R49" s="42"/>
      <c r="S49" s="68" t="e">
        <f>'T1'!#REF!+'T2'!V57+'T3'!V57+'T4'!V55+'T5'!V51+'T6'!V51+'T7'!V49+'T8'!V49+'T9'!V49+'T10'!V51+'T11'!V51+'T12'!V51</f>
        <v>#REF!</v>
      </c>
      <c r="T49" s="69" t="e">
        <f>'T1'!#REF!+'T2'!W57+'T3'!W57+'T4'!W55+'T5'!W51+'T6'!W51+'T7'!W49+'T8'!W49+'T9'!W49+'T10'!W51+'T11'!W51+'T12'!W51</f>
        <v>#REF!</v>
      </c>
      <c r="U49" s="69" t="e">
        <f>'T1'!#REF!+'T2'!X57+'T3'!X57+'T4'!X55+'T5'!X51+'T6'!X51+'T7'!X49+'T8'!X49+'T9'!X49+'T10'!X51+'T11'!X51+'T12'!X51</f>
        <v>#REF!</v>
      </c>
      <c r="V49" s="69" t="e">
        <f>'T1'!#REF!+'T2'!Y57+'T3'!Y57+'T4'!Y55+'T5'!Y51+'T6'!Y51+'T7'!Y49+'T8'!Y49+'T9'!Y49+'T10'!Y51+'T11'!Y51+'T12'!Y51</f>
        <v>#REF!</v>
      </c>
      <c r="W49" s="69" t="e">
        <f>'T1'!#REF!+'T2'!Z57+'T3'!Z57+'T4'!Z55+'T5'!Z51+'T6'!Z51+'T7'!Z49+'T8'!Z49+'T9'!Z49+'T10'!Z51+'T11'!Z51+'T12'!Z51</f>
        <v>#REF!</v>
      </c>
      <c r="X49" s="69" t="e">
        <f t="shared" si="9"/>
        <v>#REF!</v>
      </c>
      <c r="Y49" s="69" t="e">
        <f t="shared" si="10"/>
        <v>#REF!</v>
      </c>
    </row>
    <row r="50" spans="1:25" s="26" customFormat="1" ht="17.25" customHeight="1" x14ac:dyDescent="0.25">
      <c r="A50" s="29">
        <v>32</v>
      </c>
      <c r="B50" s="64" t="s">
        <v>117</v>
      </c>
      <c r="C50" s="31" t="s">
        <v>40</v>
      </c>
      <c r="D50" s="32">
        <f>'T1'!K53</f>
        <v>10828400</v>
      </c>
      <c r="E50" s="58">
        <f>'T2'!K58</f>
        <v>0</v>
      </c>
      <c r="F50" s="34">
        <f>'T3'!K58</f>
        <v>0</v>
      </c>
      <c r="G50" s="34">
        <f>'T4'!K57</f>
        <v>462003973.42050004</v>
      </c>
      <c r="H50" s="35">
        <f>'T5'!K52</f>
        <v>10828400</v>
      </c>
      <c r="I50" s="35">
        <f>'T6'!K52</f>
        <v>10828400</v>
      </c>
      <c r="J50" s="34">
        <f>'T7'!K50</f>
        <v>0</v>
      </c>
      <c r="K50" s="37">
        <f>'T8'!K50</f>
        <v>0</v>
      </c>
      <c r="L50" s="38">
        <f>'T9'!K50</f>
        <v>0</v>
      </c>
      <c r="M50" s="39">
        <f>'T10'!K52</f>
        <v>0</v>
      </c>
      <c r="N50" s="38">
        <f>'T11'!K52</f>
        <v>0</v>
      </c>
      <c r="O50" s="38">
        <f>'T12'!K52</f>
        <v>0</v>
      </c>
      <c r="P50" s="40">
        <f>'T1'!O53+'T2'!O58+'T3'!O58+'T4'!O57+'T5'!O52+'T6'!O52+'T7'!O50+'T8'!O50+'T9'!O50+'T10'!O52+'T11'!O52+'T12'!O52</f>
        <v>25234824</v>
      </c>
      <c r="Q50" s="61">
        <f t="shared" si="11"/>
        <v>469254349.42050004</v>
      </c>
      <c r="R50" s="42"/>
      <c r="S50" s="68">
        <f>'T1'!V53+'T2'!V58+'T3'!V58+'T4'!V57+'T5'!V52+'T6'!V52+'T7'!V50+'T8'!V50+'T9'!V50+'T10'!V52+'T11'!V52+'T12'!V52</f>
        <v>468209173.42049998</v>
      </c>
      <c r="T50" s="69">
        <f>'T1'!W53+'T2'!W58+'T3'!W58+'T4'!W57+'T5'!W52+'T6'!W52+'T7'!W50+'T8'!W50+'T9'!W50+'T10'!W52+'T11'!W52+'T12'!W52</f>
        <v>396000000</v>
      </c>
      <c r="U50" s="69">
        <f>'T1'!X53+'T2'!X58+'T3'!X58+'T4'!X57+'T5'!X52+'T6'!X52+'T7'!X50+'T8'!X50+'T9'!X50+'T10'!X52+'T11'!X52+'T12'!X52</f>
        <v>92400000</v>
      </c>
      <c r="V50" s="69">
        <f>'T1'!Y53+'T2'!Y58+'T3'!Y58+'T4'!Y57+'T5'!Y52+'T6'!Y52+'T7'!Y50+'T8'!Y50+'T9'!Y50+'T10'!Y52+'T11'!Y52+'T12'!Y52</f>
        <v>38067399.752499998</v>
      </c>
      <c r="W50" s="69">
        <f>'T1'!Z53+'T2'!Z58+'T3'!Z58+'T4'!Z57+'T5'!Z52+'T6'!Z52+'T7'!Z50+'T8'!Z50+'T9'!Z50+'T10'!Z52+'T11'!Z52+'T12'!Z52</f>
        <v>1903370</v>
      </c>
      <c r="X50" s="69">
        <f t="shared" si="9"/>
        <v>0</v>
      </c>
      <c r="Y50" s="69">
        <f t="shared" si="10"/>
        <v>0</v>
      </c>
    </row>
    <row r="51" spans="1:25" s="26" customFormat="1" ht="17.25" customHeight="1" x14ac:dyDescent="0.25">
      <c r="A51" s="29">
        <v>33</v>
      </c>
      <c r="B51" s="30" t="s">
        <v>121</v>
      </c>
      <c r="C51" s="31" t="s">
        <v>40</v>
      </c>
      <c r="D51" s="32">
        <f>'T1'!K54</f>
        <v>10828400</v>
      </c>
      <c r="E51" s="58">
        <f>'T2'!K59</f>
        <v>0</v>
      </c>
      <c r="F51" s="34">
        <f>'T3'!K59</f>
        <v>0</v>
      </c>
      <c r="G51" s="34">
        <f>'T4'!K58</f>
        <v>0</v>
      </c>
      <c r="H51" s="35">
        <f>'T5'!K53</f>
        <v>10828400</v>
      </c>
      <c r="I51" s="35">
        <f>'T6'!K53</f>
        <v>10828400</v>
      </c>
      <c r="J51" s="34">
        <f>'T7'!K51</f>
        <v>0</v>
      </c>
      <c r="K51" s="37">
        <f>'T8'!K51</f>
        <v>0</v>
      </c>
      <c r="L51" s="38">
        <f>'T9'!K51</f>
        <v>0</v>
      </c>
      <c r="M51" s="39">
        <f>'T10'!K53</f>
        <v>0</v>
      </c>
      <c r="N51" s="38">
        <f>'T11'!K53</f>
        <v>0</v>
      </c>
      <c r="O51" s="38">
        <f>'T12'!K53</f>
        <v>0</v>
      </c>
      <c r="P51" s="40">
        <f>'T1'!O54+'T2'!O59+'T3'!O59+'T4'!O58+'T5'!O53+'T6'!O53+'T7'!O51+'T8'!O51+'T9'!O51+'T10'!O53+'T11'!O53+'T12'!O53</f>
        <v>1983618</v>
      </c>
      <c r="Q51" s="61">
        <f t="shared" si="11"/>
        <v>30501582</v>
      </c>
      <c r="R51" s="42"/>
      <c r="S51" s="68">
        <f>'T1'!V54+'T2'!V59+'T3'!V59+'T4'!V58+'T5'!V53+'T6'!V53+'T7'!V51+'T8'!V51+'T9'!V51+'T10'!V53+'T11'!V53+'T12'!V53</f>
        <v>30295200</v>
      </c>
      <c r="T51" s="69">
        <f>'T1'!W54+'T2'!W59+'T3'!W59+'T4'!W58+'T5'!W53+'T6'!W53+'T7'!W51+'T8'!W51+'T9'!W51+'T10'!W53+'T11'!W53+'T12'!W53</f>
        <v>33000000</v>
      </c>
      <c r="U51" s="69">
        <f>'T1'!X54+'T2'!X59+'T3'!X59+'T4'!X58+'T5'!X53+'T6'!X53+'T7'!X51+'T8'!X51+'T9'!X51+'T10'!X53+'T11'!X53+'T12'!X53</f>
        <v>0</v>
      </c>
      <c r="V51" s="69">
        <f>'T1'!Y54+'T2'!Y59+'T3'!Y59+'T4'!Y58+'T5'!Y53+'T6'!Y53+'T7'!Y51+'T8'!Y51+'T9'!Y51+'T10'!Y53+'T11'!Y53+'T12'!Y53</f>
        <v>0</v>
      </c>
      <c r="W51" s="69">
        <f>'T1'!Z54+'T2'!Z59+'T3'!Z59+'T4'!Z58+'T5'!Z53+'T6'!Z53+'T7'!Z51+'T8'!Z51+'T9'!Z51+'T10'!Z53+'T11'!Z53+'T12'!Z53</f>
        <v>0</v>
      </c>
      <c r="X51" s="69">
        <f t="shared" si="9"/>
        <v>0</v>
      </c>
      <c r="Y51" s="69">
        <f t="shared" si="10"/>
        <v>0</v>
      </c>
    </row>
    <row r="52" spans="1:25" s="26" customFormat="1" ht="17.25" customHeight="1" x14ac:dyDescent="0.25">
      <c r="A52" s="29">
        <v>33</v>
      </c>
      <c r="B52" s="30" t="s">
        <v>135</v>
      </c>
      <c r="C52" s="31" t="s">
        <v>41</v>
      </c>
      <c r="D52" s="32">
        <f>'T1'!K55</f>
        <v>9260600</v>
      </c>
      <c r="E52" s="58">
        <f>'T2'!K60</f>
        <v>0</v>
      </c>
      <c r="F52" s="34">
        <f>'T3'!K60</f>
        <v>0</v>
      </c>
      <c r="G52" s="34">
        <f>'T4'!K59</f>
        <v>0</v>
      </c>
      <c r="H52" s="35">
        <f>'T5'!K54</f>
        <v>10828400</v>
      </c>
      <c r="I52" s="35">
        <f>'T6'!K54</f>
        <v>10828400</v>
      </c>
      <c r="J52" s="34">
        <f>'T7'!K52</f>
        <v>10828400</v>
      </c>
      <c r="K52" s="37">
        <f>'T8'!K52</f>
        <v>10828400</v>
      </c>
      <c r="L52" s="38">
        <f>'T9'!K52</f>
        <v>10828400</v>
      </c>
      <c r="M52" s="39">
        <f>'T10'!K54</f>
        <v>10828400</v>
      </c>
      <c r="N52" s="38">
        <f>'T11'!K54</f>
        <v>10828400</v>
      </c>
      <c r="O52" s="38">
        <f>'T12'!K54</f>
        <v>10828400</v>
      </c>
      <c r="P52" s="40">
        <f>'T1'!O55+'T2'!O60+'T3'!O60+'T4'!O59+'T5'!O54+'T6'!O54+'T7'!O52+'T8'!O52+'T9'!O52+'T10'!O54+'T11'!O54+'T12'!O54</f>
        <v>5790876</v>
      </c>
      <c r="Q52" s="61">
        <f t="shared" si="11"/>
        <v>90096924</v>
      </c>
      <c r="R52" s="42"/>
      <c r="S52" s="68">
        <f>'T1'!V55+'T2'!V60+'T3'!V60+'T4'!V59+'T5'!V54+'T6'!V54+'T7'!V52+'T8'!V52+'T9'!V52+'T10'!V54+'T11'!V54+'T12'!V54</f>
        <v>89317800</v>
      </c>
      <c r="T52" s="69">
        <f>'T1'!W55+'T2'!W60+'T3'!W60+'T4'!W59+'T5'!W54+'T6'!W54+'T7'!W52+'T8'!W52+'T9'!W52+'T10'!W54+'T11'!W54+'T12'!W54</f>
        <v>99000000</v>
      </c>
      <c r="U52" s="69">
        <f>'T1'!X55+'T2'!X60+'T3'!X60+'T4'!X59+'T5'!X54+'T6'!X54+'T7'!X52+'T8'!X52+'T9'!X52+'T10'!X54+'T11'!X54+'T12'!X54</f>
        <v>4400000</v>
      </c>
      <c r="V52" s="69">
        <f>'T1'!Y55+'T2'!Y60+'T3'!Y60+'T4'!Y59+'T5'!Y54+'T6'!Y54+'T7'!Y52+'T8'!Y52+'T9'!Y52+'T10'!Y54+'T11'!Y54+'T12'!Y54</f>
        <v>0</v>
      </c>
      <c r="W52" s="69">
        <f>'T1'!Z55+'T2'!Z60+'T3'!Z60+'T4'!Z59+'T5'!Z54+'T6'!Z54+'T7'!Z52+'T8'!Z52+'T9'!Z52+'T10'!Z54+'T11'!Z54+'T12'!Z54</f>
        <v>0</v>
      </c>
      <c r="X52" s="69">
        <f t="shared" ref="X52" si="12">MAX(S52-T52-U52-P52,0)</f>
        <v>0</v>
      </c>
      <c r="Y52" s="69">
        <f t="shared" ref="Y52" si="13">ROUND(IF(X52&gt;960000000,((X52-960000000)*0.35+217800000),IF(AND(X52&gt;624000000,X52&lt;=624000000),((X52-624000000)*0.3+1170000000),IF(AND(X52&gt;384000000,X52&lt;=624000000),((X52-32000000)*0.25+4750000),IF(AND(X52&gt;216000000,X52&lt;=384000000),((X52-216000000)*0.2+23400000),IF(AND(X52&gt;120000000,X52&lt;=216000000),((X52-120000000)*0.15+9000000),IF(AND(X52&gt;60000000,X52&lt;=120000000),((X52-60000000)*0.1+3000000),(X52*0.05))))))),0)</f>
        <v>0</v>
      </c>
    </row>
    <row r="53" spans="1:25" s="26" customFormat="1" ht="17.25" customHeight="1" x14ac:dyDescent="0.25">
      <c r="A53" s="115" t="s">
        <v>13</v>
      </c>
      <c r="B53" s="116"/>
      <c r="C53" s="46"/>
      <c r="D53" s="47" t="e">
        <f t="shared" ref="D53:Q53" si="14">D11+D13+D15+D43</f>
        <v>#REF!</v>
      </c>
      <c r="E53" s="47" t="e">
        <f t="shared" si="14"/>
        <v>#REF!</v>
      </c>
      <c r="F53" s="47" t="e">
        <f t="shared" si="14"/>
        <v>#REF!</v>
      </c>
      <c r="G53" s="47" t="e">
        <f t="shared" si="14"/>
        <v>#REF!</v>
      </c>
      <c r="H53" s="47" t="e">
        <f t="shared" si="14"/>
        <v>#REF!</v>
      </c>
      <c r="I53" s="47" t="e">
        <f t="shared" si="14"/>
        <v>#REF!</v>
      </c>
      <c r="J53" s="47" t="e">
        <f t="shared" si="14"/>
        <v>#REF!</v>
      </c>
      <c r="K53" s="47" t="e">
        <f t="shared" si="14"/>
        <v>#REF!</v>
      </c>
      <c r="L53" s="47" t="e">
        <f t="shared" si="14"/>
        <v>#REF!</v>
      </c>
      <c r="M53" s="47" t="e">
        <f t="shared" si="14"/>
        <v>#REF!</v>
      </c>
      <c r="N53" s="47" t="e">
        <f t="shared" si="14"/>
        <v>#REF!</v>
      </c>
      <c r="O53" s="47" t="e">
        <f t="shared" si="14"/>
        <v>#REF!</v>
      </c>
      <c r="P53" s="47" t="e">
        <f t="shared" si="14"/>
        <v>#REF!</v>
      </c>
      <c r="Q53" s="47" t="e">
        <f t="shared" si="14"/>
        <v>#REF!</v>
      </c>
      <c r="R53" s="48"/>
      <c r="S53" s="47" t="e">
        <f>S11+S13+S15+S43</f>
        <v>#REF!</v>
      </c>
      <c r="T53" s="47" t="e">
        <f t="shared" ref="T53" si="15">T11+T13+T15+T43</f>
        <v>#REF!</v>
      </c>
      <c r="U53" s="47" t="e">
        <f>U11+U13+U15+U43</f>
        <v>#REF!</v>
      </c>
      <c r="V53" s="47" t="e">
        <f>V11+V13+V15+V43</f>
        <v>#REF!</v>
      </c>
      <c r="W53" s="47" t="e">
        <f>W11+W13+W15+W43</f>
        <v>#REF!</v>
      </c>
      <c r="X53" s="47" t="e">
        <f>X11+X13+X15+X43</f>
        <v>#REF!</v>
      </c>
      <c r="Y53" s="47" t="e">
        <f>Y11+Y13+Y15+Y43</f>
        <v>#REF!</v>
      </c>
    </row>
    <row r="54" spans="1:25" s="14" customFormat="1" ht="19.5" customHeight="1" x14ac:dyDescent="0.25">
      <c r="A54" s="7"/>
      <c r="B54" s="7"/>
      <c r="C54" s="8"/>
      <c r="D54" s="9"/>
      <c r="E54" s="9"/>
      <c r="F54" s="9"/>
      <c r="G54" s="9"/>
      <c r="H54" s="9"/>
      <c r="I54" s="9"/>
      <c r="J54" s="60"/>
      <c r="K54" s="9"/>
      <c r="L54" s="9"/>
      <c r="M54" s="9"/>
      <c r="N54" s="60"/>
      <c r="O54" s="9"/>
      <c r="P54" s="9"/>
      <c r="Q54" s="9"/>
      <c r="R54" s="15"/>
      <c r="S54" s="17"/>
      <c r="T54" s="70"/>
      <c r="U54" s="70"/>
      <c r="V54" s="70"/>
      <c r="W54" s="70"/>
      <c r="X54" s="70"/>
      <c r="Y54" s="70"/>
    </row>
    <row r="55" spans="1:25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K55" s="16"/>
      <c r="L55" s="16"/>
      <c r="M55" s="104" t="s">
        <v>128</v>
      </c>
      <c r="N55" s="104"/>
      <c r="O55" s="104"/>
      <c r="P55" s="104"/>
      <c r="Q55" s="104"/>
      <c r="R55" s="16"/>
      <c r="T55" s="70"/>
      <c r="U55" s="70"/>
      <c r="V55" s="70"/>
      <c r="W55" s="70"/>
      <c r="X55" s="70"/>
      <c r="Y55" s="70"/>
    </row>
    <row r="56" spans="1:25" s="17" customFormat="1" ht="12.75" x14ac:dyDescent="0.25">
      <c r="A56" s="10" t="s">
        <v>44</v>
      </c>
      <c r="B56" s="16"/>
      <c r="C56" s="16"/>
      <c r="D56" s="16"/>
      <c r="E56" s="10"/>
      <c r="F56" s="16"/>
      <c r="G56" s="117" t="s">
        <v>45</v>
      </c>
      <c r="H56" s="117"/>
      <c r="I56" s="16"/>
      <c r="J56" s="16"/>
      <c r="L56" s="10"/>
      <c r="M56" s="117" t="s">
        <v>46</v>
      </c>
      <c r="N56" s="117"/>
      <c r="O56" s="117"/>
      <c r="P56" s="117"/>
      <c r="Q56" s="117"/>
      <c r="R56" s="16"/>
      <c r="T56" s="70"/>
      <c r="U56" s="70"/>
      <c r="V56" s="70"/>
      <c r="W56" s="70"/>
      <c r="X56" s="70"/>
      <c r="Y56" s="70"/>
    </row>
    <row r="57" spans="1:25" s="17" customFormat="1" ht="12.75" x14ac:dyDescent="0.25">
      <c r="A57" s="11" t="s">
        <v>47</v>
      </c>
      <c r="B57" s="16"/>
      <c r="C57" s="16"/>
      <c r="D57" s="11"/>
      <c r="E57" s="11"/>
      <c r="F57" s="11"/>
      <c r="G57" s="104" t="s">
        <v>48</v>
      </c>
      <c r="H57" s="104"/>
      <c r="I57" s="16"/>
      <c r="J57" s="16"/>
      <c r="K57" s="16"/>
      <c r="L57" s="16"/>
      <c r="M57" s="104" t="s">
        <v>47</v>
      </c>
      <c r="N57" s="104"/>
      <c r="O57" s="104"/>
      <c r="P57" s="104"/>
      <c r="Q57" s="104"/>
      <c r="R57" s="16"/>
      <c r="T57" s="70"/>
      <c r="U57" s="70"/>
      <c r="V57" s="70"/>
      <c r="W57" s="70"/>
      <c r="X57" s="70"/>
      <c r="Y57" s="70"/>
    </row>
    <row r="58" spans="1:25" s="17" customFormat="1" ht="12.75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0"/>
      <c r="Q58" s="16"/>
      <c r="R58" s="16"/>
      <c r="T58" s="71"/>
      <c r="U58" s="71"/>
      <c r="V58" s="71"/>
      <c r="W58" s="71"/>
      <c r="X58" s="71"/>
      <c r="Y58" s="71"/>
    </row>
    <row r="59" spans="1:25" s="17" customFormat="1" x14ac:dyDescent="0.25">
      <c r="A59" s="16"/>
      <c r="B59" s="16"/>
      <c r="C59" s="16"/>
      <c r="D59" s="16"/>
      <c r="E59" s="16"/>
      <c r="F59" s="16"/>
      <c r="G59" s="16"/>
      <c r="H59" s="16"/>
      <c r="I59" s="15"/>
      <c r="J59" s="16"/>
      <c r="K59" s="16"/>
      <c r="L59" s="16"/>
      <c r="M59" s="16"/>
      <c r="N59" s="16"/>
      <c r="O59" s="16"/>
      <c r="P59" s="10"/>
      <c r="Q59" s="16"/>
      <c r="R59" s="16"/>
      <c r="S59" s="13"/>
    </row>
    <row r="60" spans="1:25" x14ac:dyDescent="0.25">
      <c r="A60" s="16"/>
      <c r="B60" s="16"/>
      <c r="C60" s="16"/>
      <c r="D60" s="16"/>
      <c r="E60" s="16"/>
      <c r="F60" s="19"/>
      <c r="G60" s="16"/>
      <c r="H60" s="16"/>
      <c r="I60" s="16"/>
      <c r="J60" s="18"/>
      <c r="K60" s="20"/>
      <c r="L60" s="21"/>
      <c r="N60" s="16"/>
      <c r="O60" s="16"/>
      <c r="P60" s="10"/>
      <c r="Q60" s="16"/>
      <c r="R60" s="12"/>
      <c r="T60" s="17"/>
      <c r="U60" s="17"/>
      <c r="V60" s="17"/>
      <c r="W60" s="17"/>
      <c r="X60" s="17"/>
      <c r="Y60" s="17"/>
    </row>
    <row r="61" spans="1:25" x14ac:dyDescent="0.25">
      <c r="J61" s="22"/>
      <c r="K61" s="23"/>
      <c r="L61" s="24"/>
      <c r="T61" s="17"/>
      <c r="U61" s="17"/>
      <c r="V61" s="17"/>
      <c r="W61" s="17"/>
      <c r="X61" s="17"/>
      <c r="Y61" s="17"/>
    </row>
    <row r="62" spans="1:25" x14ac:dyDescent="0.25">
      <c r="J62" s="22"/>
      <c r="T62" s="17"/>
      <c r="U62" s="17"/>
      <c r="V62" s="17"/>
      <c r="W62" s="17"/>
      <c r="X62" s="17"/>
      <c r="Y62" s="17"/>
    </row>
    <row r="63" spans="1:25" x14ac:dyDescent="0.25">
      <c r="I63" s="25"/>
      <c r="T63" s="17"/>
      <c r="U63" s="17"/>
      <c r="V63" s="17"/>
      <c r="W63" s="17"/>
      <c r="X63" s="17"/>
      <c r="Y63" s="17"/>
    </row>
    <row r="64" spans="1:25" x14ac:dyDescent="0.25">
      <c r="D64" s="23"/>
      <c r="F64" s="22"/>
      <c r="G64" s="23"/>
    </row>
    <row r="65" spans="6:13" x14ac:dyDescent="0.25">
      <c r="F65" s="27"/>
    </row>
    <row r="67" spans="6:13" x14ac:dyDescent="0.25">
      <c r="M67" s="23"/>
    </row>
  </sheetData>
  <mergeCells count="26">
    <mergeCell ref="X8:X9"/>
    <mergeCell ref="Y8:Y9"/>
    <mergeCell ref="S8:S9"/>
    <mergeCell ref="T8:T9"/>
    <mergeCell ref="U8:U9"/>
    <mergeCell ref="V8:V9"/>
    <mergeCell ref="W8:W9"/>
    <mergeCell ref="A11:C11"/>
    <mergeCell ref="A15:C15"/>
    <mergeCell ref="C8:C9"/>
    <mergeCell ref="R8:R9"/>
    <mergeCell ref="A5:R5"/>
    <mergeCell ref="A6:R6"/>
    <mergeCell ref="P8:P9"/>
    <mergeCell ref="Q8:Q9"/>
    <mergeCell ref="D8:O8"/>
    <mergeCell ref="A8:A9"/>
    <mergeCell ref="B8:B9"/>
    <mergeCell ref="A13:C13"/>
    <mergeCell ref="G56:H56"/>
    <mergeCell ref="G57:H57"/>
    <mergeCell ref="A43:C43"/>
    <mergeCell ref="A53:B53"/>
    <mergeCell ref="M55:Q55"/>
    <mergeCell ref="M56:Q56"/>
    <mergeCell ref="M57:Q57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7" sqref="A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105" t="s">
        <v>63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ht="18.75" x14ac:dyDescent="0.25">
      <c r="A6" s="106" t="s">
        <v>107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101" t="s">
        <v>3</v>
      </c>
      <c r="B8" s="101" t="s">
        <v>4</v>
      </c>
      <c r="C8" s="101" t="s">
        <v>5</v>
      </c>
      <c r="D8" s="109" t="s">
        <v>77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07" t="s">
        <v>76</v>
      </c>
      <c r="Q8" s="121" t="s">
        <v>14</v>
      </c>
    </row>
    <row r="9" spans="1:17" s="57" customFormat="1" ht="15" customHeight="1" x14ac:dyDescent="0.2">
      <c r="A9" s="102"/>
      <c r="B9" s="102"/>
      <c r="C9" s="10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107"/>
      <c r="Q9" s="123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118" t="s">
        <v>23</v>
      </c>
      <c r="B11" s="119"/>
      <c r="C11" s="120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>
        <f t="shared" si="0"/>
        <v>4212864</v>
      </c>
      <c r="J11" s="51">
        <f t="shared" si="0"/>
        <v>263304</v>
      </c>
      <c r="K11" s="51">
        <f t="shared" si="0"/>
        <v>263304</v>
      </c>
      <c r="L11" s="51">
        <f t="shared" si="0"/>
        <v>263304</v>
      </c>
      <c r="M11" s="51">
        <f t="shared" si="0"/>
        <v>263304</v>
      </c>
      <c r="N11" s="51">
        <f t="shared" si="0"/>
        <v>263304</v>
      </c>
      <c r="O11" s="51">
        <f t="shared" si="0"/>
        <v>263304</v>
      </c>
      <c r="P11" s="51">
        <f t="shared" si="0"/>
        <v>26857008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'T4'!O12+'T4'!S12</f>
        <v>4212864</v>
      </c>
      <c r="H12" s="35">
        <f>'T5'!O12+'T5'!S12</f>
        <v>4212864</v>
      </c>
      <c r="I12" s="35">
        <f>'T6'!O12+'T6'!S12</f>
        <v>4212864</v>
      </c>
      <c r="J12" s="34">
        <f>'T7'!N12+'T7'!R12</f>
        <v>263304</v>
      </c>
      <c r="K12" s="37">
        <f>'T8'!N12+'T8'!R12</f>
        <v>263304</v>
      </c>
      <c r="L12" s="38">
        <f>'T9'!N12+'T9'!R12</f>
        <v>263304</v>
      </c>
      <c r="M12" s="39">
        <f>'T10'!N12+'T10'!R12</f>
        <v>263304</v>
      </c>
      <c r="N12" s="38">
        <f>'T11'!N12+'T11'!R12</f>
        <v>263304</v>
      </c>
      <c r="O12" s="38">
        <f>'T12'!N12+'T12'!R12</f>
        <v>263304</v>
      </c>
      <c r="P12" s="61">
        <f t="shared" ref="P12:P41" si="1">SUM(D12:O12)</f>
        <v>26857008</v>
      </c>
      <c r="Q12" s="42"/>
    </row>
    <row r="13" spans="1:17" s="55" customFormat="1" ht="12.75" x14ac:dyDescent="0.25">
      <c r="A13" s="118" t="s">
        <v>23</v>
      </c>
      <c r="B13" s="119"/>
      <c r="C13" s="120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>
        <f t="shared" si="2"/>
        <v>3862400</v>
      </c>
      <c r="J13" s="51">
        <f t="shared" si="2"/>
        <v>241400</v>
      </c>
      <c r="K13" s="51">
        <f t="shared" si="2"/>
        <v>241400</v>
      </c>
      <c r="L13" s="51">
        <f t="shared" si="2"/>
        <v>241400</v>
      </c>
      <c r="M13" s="51">
        <f t="shared" si="2"/>
        <v>241400</v>
      </c>
      <c r="N13" s="51">
        <f t="shared" si="2"/>
        <v>241400</v>
      </c>
      <c r="O13" s="51">
        <f t="shared" si="2"/>
        <v>241400</v>
      </c>
      <c r="P13" s="51">
        <f>SUM(P14)</f>
        <v>24622800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'T4'!O14+'T4'!S14</f>
        <v>3862400</v>
      </c>
      <c r="H14" s="35">
        <f>'T5'!O14+'T5'!S14</f>
        <v>3862400</v>
      </c>
      <c r="I14" s="35">
        <f>'T6'!O14+'T6'!S14</f>
        <v>3862400</v>
      </c>
      <c r="J14" s="34">
        <f>'T7'!N14+'T7'!R14</f>
        <v>241400</v>
      </c>
      <c r="K14" s="37">
        <f>'T8'!N14+'T8'!R14</f>
        <v>241400</v>
      </c>
      <c r="L14" s="38">
        <f>'T9'!N14+'T9'!R14</f>
        <v>241400</v>
      </c>
      <c r="M14" s="39">
        <f>'T10'!N14+'T10'!R14</f>
        <v>241400</v>
      </c>
      <c r="N14" s="38">
        <f>'T11'!N14+'T11'!R14</f>
        <v>241400</v>
      </c>
      <c r="O14" s="38">
        <f>'T12'!N14+'T12'!R14</f>
        <v>241400</v>
      </c>
      <c r="P14" s="61">
        <f>SUM(D14:O14)</f>
        <v>24622800</v>
      </c>
      <c r="Q14" s="42"/>
    </row>
    <row r="15" spans="1:17" s="53" customFormat="1" ht="12.75" x14ac:dyDescent="0.25">
      <c r="A15" s="112" t="s">
        <v>28</v>
      </c>
      <c r="B15" s="113"/>
      <c r="C15" s="114"/>
      <c r="D15" s="51" t="e">
        <f t="shared" ref="D15:O15" si="3">SUM(D16:D35)</f>
        <v>#REF!</v>
      </c>
      <c r="E15" s="51" t="e">
        <f t="shared" si="3"/>
        <v>#REF!</v>
      </c>
      <c r="F15" s="51" t="e">
        <f t="shared" si="3"/>
        <v>#REF!</v>
      </c>
      <c r="G15" s="51" t="e">
        <f t="shared" si="3"/>
        <v>#REF!</v>
      </c>
      <c r="H15" s="51" t="e">
        <f t="shared" si="3"/>
        <v>#REF!</v>
      </c>
      <c r="I15" s="51" t="e">
        <f t="shared" si="3"/>
        <v>#REF!</v>
      </c>
      <c r="J15" s="51" t="e">
        <f t="shared" si="3"/>
        <v>#REF!</v>
      </c>
      <c r="K15" s="51" t="e">
        <f t="shared" si="3"/>
        <v>#REF!</v>
      </c>
      <c r="L15" s="51" t="e">
        <f t="shared" si="3"/>
        <v>#REF!</v>
      </c>
      <c r="M15" s="51" t="e">
        <f t="shared" si="3"/>
        <v>#REF!</v>
      </c>
      <c r="N15" s="51" t="e">
        <f t="shared" si="3"/>
        <v>#REF!</v>
      </c>
      <c r="O15" s="51" t="e">
        <f t="shared" si="3"/>
        <v>#REF!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'T1'!O18+'T1'!S18</f>
        <v>2006400</v>
      </c>
      <c r="E16" s="58">
        <f>'T2'!O18+'T2'!S18</f>
        <v>2006400</v>
      </c>
      <c r="F16" s="34">
        <f>'T3'!O18+'T3'!S18</f>
        <v>2006400</v>
      </c>
      <c r="G16" s="34">
        <f>'T4'!O18+'T4'!S18</f>
        <v>2006400</v>
      </c>
      <c r="H16" s="35">
        <f>'T5'!O18+'T5'!S18</f>
        <v>2006400</v>
      </c>
      <c r="I16" s="35">
        <f>'T6'!O18+'T6'!S18</f>
        <v>0</v>
      </c>
      <c r="J16" s="34">
        <f>'T7'!N16+'T7'!R16</f>
        <v>169800</v>
      </c>
      <c r="K16" s="37">
        <f>'T8'!N16+'T8'!R16</f>
        <v>169800</v>
      </c>
      <c r="L16" s="38">
        <f>'T9'!N16+'T9'!R16</f>
        <v>169800</v>
      </c>
      <c r="M16" s="39">
        <f>'T10'!N16+'T10'!R16</f>
        <v>169800</v>
      </c>
      <c r="N16" s="38">
        <f>'T11'!N16+'T11'!R16</f>
        <v>169800</v>
      </c>
      <c r="O16" s="38">
        <f>'T12'!N16+'T12'!R16</f>
        <v>169800</v>
      </c>
      <c r="P16" s="61">
        <f t="shared" si="1"/>
        <v>11050800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'T1'!O19+'T1'!S19</f>
        <v>1838208</v>
      </c>
      <c r="E17" s="58">
        <f>'T2'!O19+'T2'!S19</f>
        <v>1838208</v>
      </c>
      <c r="F17" s="34">
        <f>'T3'!O19+'T3'!S19</f>
        <v>1838208</v>
      </c>
      <c r="G17" s="34">
        <f>'T4'!O19+'T4'!S19</f>
        <v>1838208</v>
      </c>
      <c r="H17" s="35">
        <f>'T5'!O19+'T5'!S19</f>
        <v>1838208</v>
      </c>
      <c r="I17" s="35">
        <f>'T6'!O19+'T6'!S19</f>
        <v>1838208</v>
      </c>
      <c r="J17" s="34">
        <f>'T7'!N17+'T7'!R17</f>
        <v>2962040</v>
      </c>
      <c r="K17" s="37">
        <f>'T8'!N17+'T8'!R17</f>
        <v>2715384</v>
      </c>
      <c r="L17" s="38">
        <f>'T9'!N17+'T9'!R17</f>
        <v>2715384</v>
      </c>
      <c r="M17" s="39">
        <f>'T10'!N17+'T10'!R17</f>
        <v>2830304</v>
      </c>
      <c r="N17" s="38">
        <f>'T11'!N17+'T11'!R17</f>
        <v>3087632</v>
      </c>
      <c r="O17" s="38">
        <f>'T12'!N17+'T12'!R17</f>
        <v>2485576</v>
      </c>
      <c r="P17" s="61">
        <f t="shared" ref="P17:P39" si="4">SUM(D17:O17)</f>
        <v>27825568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'T1'!O20+'T1'!S20</f>
        <v>1838208</v>
      </c>
      <c r="E18" s="58">
        <f>'T2'!O20+'T2'!S20</f>
        <v>1838208</v>
      </c>
      <c r="F18" s="34">
        <f>'T3'!O20+'T3'!S20</f>
        <v>1838208</v>
      </c>
      <c r="G18" s="34">
        <f>'T4'!O20+'T4'!S20</f>
        <v>1838208</v>
      </c>
      <c r="H18" s="35">
        <f>'T5'!O20+'T5'!S20</f>
        <v>1838208</v>
      </c>
      <c r="I18" s="35">
        <f>'T6'!O20+'T6'!S20</f>
        <v>1838208</v>
      </c>
      <c r="J18" s="34">
        <f>'T7'!N18+'T7'!R18</f>
        <v>0</v>
      </c>
      <c r="K18" s="37">
        <f>'T8'!N18+'T8'!R18</f>
        <v>0</v>
      </c>
      <c r="L18" s="38">
        <f>'T9'!N18+'T9'!R18</f>
        <v>0</v>
      </c>
      <c r="M18" s="39">
        <f>'T10'!N18+'T10'!R18</f>
        <v>0</v>
      </c>
      <c r="N18" s="38">
        <f>'T11'!N18+'T11'!R18</f>
        <v>0</v>
      </c>
      <c r="O18" s="38">
        <f>'T12'!N18+'T12'!R18</f>
        <v>0</v>
      </c>
      <c r="P18" s="61">
        <f t="shared" si="4"/>
        <v>11029248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 t="e">
        <f>'T2'!#REF!+'T2'!#REF!</f>
        <v>#REF!</v>
      </c>
      <c r="F19" s="34" t="e">
        <f>'T3'!#REF!+'T3'!#REF!</f>
        <v>#REF!</v>
      </c>
      <c r="G19" s="34" t="e">
        <f>'T4'!#REF!+'T4'!#REF!</f>
        <v>#REF!</v>
      </c>
      <c r="H19" s="35" t="e">
        <f>'T5'!#REF!+'T5'!#REF!</f>
        <v>#REF!</v>
      </c>
      <c r="I19" s="35" t="e">
        <f>'T6'!#REF!+'T6'!#REF!</f>
        <v>#REF!</v>
      </c>
      <c r="J19" s="34" t="e">
        <f>'T7'!#REF!+'T7'!#REF!</f>
        <v>#REF!</v>
      </c>
      <c r="K19" s="37" t="e">
        <f>'T8'!#REF!+'T8'!#REF!</f>
        <v>#REF!</v>
      </c>
      <c r="L19" s="38" t="e">
        <f>'T9'!#REF!+'T9'!#REF!</f>
        <v>#REF!</v>
      </c>
      <c r="M19" s="39" t="e">
        <f>'T10'!#REF!+'T10'!#REF!</f>
        <v>#REF!</v>
      </c>
      <c r="N19" s="38" t="e">
        <f>'T11'!#REF!+'T11'!#REF!</f>
        <v>#REF!</v>
      </c>
      <c r="O19" s="38" t="e">
        <f>'T12'!#REF!+'T12'!#REF!</f>
        <v>#REF!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 t="e">
        <f>'T1'!#REF!+'T1'!#REF!</f>
        <v>#REF!</v>
      </c>
      <c r="E20" s="58">
        <f>'T2'!O21+'T2'!S21</f>
        <v>2006400</v>
      </c>
      <c r="F20" s="34">
        <f>'T3'!O21+'T3'!S21</f>
        <v>2006400</v>
      </c>
      <c r="G20" s="34">
        <f>'T4'!O21+'T4'!S21</f>
        <v>2006400</v>
      </c>
      <c r="H20" s="35">
        <f>'T5'!O21+'T5'!S21</f>
        <v>2006400</v>
      </c>
      <c r="I20" s="35">
        <f>'T6'!O21+'T6'!S21</f>
        <v>2006400</v>
      </c>
      <c r="J20" s="34">
        <f>'T7'!N19+'T7'!R19</f>
        <v>114888</v>
      </c>
      <c r="K20" s="37">
        <f>'T8'!N19+'T8'!R19</f>
        <v>114888</v>
      </c>
      <c r="L20" s="38">
        <f>'T9'!N19+'T9'!R19</f>
        <v>114888</v>
      </c>
      <c r="M20" s="39">
        <f>'T10'!N19+'T10'!R19</f>
        <v>114888</v>
      </c>
      <c r="N20" s="38">
        <f>'T11'!N19+'T11'!R19</f>
        <v>0</v>
      </c>
      <c r="O20" s="38">
        <f>'T12'!N19+'T12'!R19</f>
        <v>0</v>
      </c>
      <c r="P20" s="61" t="e">
        <f t="shared" si="4"/>
        <v>#REF!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'T1'!O21+'T1'!S21</f>
        <v>2006400</v>
      </c>
      <c r="E21" s="58">
        <f>'T2'!O22+'T2'!S22</f>
        <v>1838720</v>
      </c>
      <c r="F21" s="34">
        <f>'T3'!O22+'T3'!S22</f>
        <v>1838720</v>
      </c>
      <c r="G21" s="34">
        <f>'T4'!O22+'T4'!S22</f>
        <v>1838720</v>
      </c>
      <c r="H21" s="35">
        <f>'T5'!O22+'T5'!S22</f>
        <v>1838720</v>
      </c>
      <c r="I21" s="35">
        <f>'T6'!O22+'T6'!S22</f>
        <v>1838720</v>
      </c>
      <c r="J21" s="34">
        <f>'T7'!N20+'T7'!R20</f>
        <v>114888</v>
      </c>
      <c r="K21" s="37">
        <f>'T8'!N20+'T8'!R20</f>
        <v>0</v>
      </c>
      <c r="L21" s="38">
        <f>'T9'!N20+'T9'!R20</f>
        <v>0</v>
      </c>
      <c r="M21" s="39">
        <f>'T10'!N20+'T10'!R20</f>
        <v>0</v>
      </c>
      <c r="N21" s="38">
        <f>'T11'!N20+'T11'!R20</f>
        <v>0</v>
      </c>
      <c r="O21" s="38">
        <f>'T12'!N20+'T12'!R20</f>
        <v>0</v>
      </c>
      <c r="P21" s="61">
        <f t="shared" si="4"/>
        <v>11314888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'T2'!O23+'T2'!S23</f>
        <v>1838720</v>
      </c>
      <c r="F22" s="34">
        <f>'T3'!O23+'T3'!S23</f>
        <v>1838720</v>
      </c>
      <c r="G22" s="34">
        <f>'T4'!O23+'T4'!S23</f>
        <v>1838720</v>
      </c>
      <c r="H22" s="35">
        <f>'T5'!O23+'T5'!S23</f>
        <v>1838720</v>
      </c>
      <c r="I22" s="35">
        <f>'T6'!O23+'T6'!S23</f>
        <v>1838720</v>
      </c>
      <c r="J22" s="34">
        <f>'T7'!N21+'T7'!R21</f>
        <v>125400</v>
      </c>
      <c r="K22" s="37">
        <f>'T8'!N21+'T8'!R21</f>
        <v>125400</v>
      </c>
      <c r="L22" s="38">
        <f>'T9'!N21+'T9'!R21</f>
        <v>125400</v>
      </c>
      <c r="M22" s="39">
        <f>'T10'!N21+'T10'!R21</f>
        <v>125400</v>
      </c>
      <c r="N22" s="38">
        <f>'T11'!N21+'T11'!R21</f>
        <v>125400</v>
      </c>
      <c r="O22" s="38">
        <f>'T12'!N21+'T12'!R21</f>
        <v>125400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'T1'!O22+'T1'!S22</f>
        <v>1838720</v>
      </c>
      <c r="E23" s="58">
        <f>'T2'!O24+'T2'!S24</f>
        <v>1838720</v>
      </c>
      <c r="F23" s="34">
        <f>'T3'!O24+'T3'!S24</f>
        <v>1838720</v>
      </c>
      <c r="G23" s="34">
        <f>'T4'!O24+'T4'!S24</f>
        <v>1838720</v>
      </c>
      <c r="H23" s="35">
        <f>'T5'!O24+'T5'!S24</f>
        <v>1838720</v>
      </c>
      <c r="I23" s="35">
        <f>'T6'!O24+'T6'!S24</f>
        <v>1838720</v>
      </c>
      <c r="J23" s="34">
        <f>'T7'!N22+'T7'!R22</f>
        <v>114920</v>
      </c>
      <c r="K23" s="37">
        <f>'T8'!N22+'T8'!R22</f>
        <v>114920</v>
      </c>
      <c r="L23" s="38">
        <f>'T9'!N22+'T9'!R22</f>
        <v>114920</v>
      </c>
      <c r="M23" s="39">
        <f>'T10'!N22+'T10'!R22</f>
        <v>114920</v>
      </c>
      <c r="N23" s="38">
        <f>'T11'!N22+'T11'!R22</f>
        <v>114920</v>
      </c>
      <c r="O23" s="38">
        <f>'T12'!N22+'T12'!R22</f>
        <v>114920</v>
      </c>
      <c r="P23" s="61">
        <f t="shared" si="4"/>
        <v>11721840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'T1'!O23+'T1'!S23</f>
        <v>1838720</v>
      </c>
      <c r="E24" s="58">
        <f>'T2'!O25+'T2'!S25</f>
        <v>2008448</v>
      </c>
      <c r="F24" s="34">
        <f>'T3'!O25+'T3'!S25</f>
        <v>2008448</v>
      </c>
      <c r="G24" s="34">
        <f>'T4'!O25+'T4'!S25</f>
        <v>2008448</v>
      </c>
      <c r="H24" s="35">
        <f>'T5'!O25+'T5'!S25</f>
        <v>2008448</v>
      </c>
      <c r="I24" s="35">
        <f>'T6'!O25+'T6'!S25</f>
        <v>2008448</v>
      </c>
      <c r="J24" s="34">
        <f>'T7'!N23+'T7'!R23</f>
        <v>114920</v>
      </c>
      <c r="K24" s="37">
        <f>'T8'!N23+'T8'!R23</f>
        <v>114920</v>
      </c>
      <c r="L24" s="38">
        <f>'T9'!N23+'T9'!R23</f>
        <v>114920</v>
      </c>
      <c r="M24" s="39">
        <f>'T10'!N23+'T10'!R23</f>
        <v>114920</v>
      </c>
      <c r="N24" s="38">
        <f>'T11'!N23+'T11'!R23</f>
        <v>114920</v>
      </c>
      <c r="O24" s="38">
        <f>'T12'!N23+'T12'!R23</f>
        <v>114920</v>
      </c>
      <c r="P24" s="61">
        <f t="shared" si="4"/>
        <v>12570480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'T1'!O24+'T1'!S24</f>
        <v>1838720</v>
      </c>
      <c r="E25" s="58">
        <f>'T2'!O26+'T2'!S26</f>
        <v>1838720</v>
      </c>
      <c r="F25" s="34">
        <f>'T3'!O26+'T3'!S26</f>
        <v>1838720</v>
      </c>
      <c r="G25" s="34">
        <f>'T4'!O26+'T4'!S26</f>
        <v>1838720</v>
      </c>
      <c r="H25" s="35">
        <f>'T5'!O26+'T5'!S26</f>
        <v>1838720</v>
      </c>
      <c r="I25" s="35">
        <f>'T6'!O26+'T6'!S26</f>
        <v>1838720</v>
      </c>
      <c r="J25" s="34">
        <f>'T7'!N24+'T7'!R24</f>
        <v>114920</v>
      </c>
      <c r="K25" s="37">
        <f>'T8'!N24+'T8'!R24</f>
        <v>114920</v>
      </c>
      <c r="L25" s="38">
        <f>'T9'!N24+'T9'!R24</f>
        <v>114920</v>
      </c>
      <c r="M25" s="39">
        <f>'T10'!N24+'T10'!R24</f>
        <v>114920</v>
      </c>
      <c r="N25" s="38">
        <f>'T11'!N24+'T11'!R24</f>
        <v>114920</v>
      </c>
      <c r="O25" s="38">
        <f>'T12'!N24+'T12'!R24</f>
        <v>114920</v>
      </c>
      <c r="P25" s="61">
        <f t="shared" si="4"/>
        <v>11721840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'T1'!O25+'T1'!S25</f>
        <v>2008448</v>
      </c>
      <c r="E26" s="58">
        <f>'T2'!O27+'T2'!S27</f>
        <v>1838720</v>
      </c>
      <c r="F26" s="34">
        <f>'T3'!O27+'T3'!S27</f>
        <v>1838720</v>
      </c>
      <c r="G26" s="34">
        <f>'T4'!O27+'T4'!S27</f>
        <v>1838720</v>
      </c>
      <c r="H26" s="35">
        <f>'T5'!O27+'T5'!S27</f>
        <v>1838720</v>
      </c>
      <c r="I26" s="35">
        <f>'T6'!O27+'T6'!S27</f>
        <v>1838720</v>
      </c>
      <c r="J26" s="34">
        <f>'T7'!N25+'T7'!R25</f>
        <v>125528</v>
      </c>
      <c r="K26" s="37">
        <f>'T8'!N25+'T8'!R25</f>
        <v>125528</v>
      </c>
      <c r="L26" s="38">
        <f>'T9'!N25+'T9'!R25</f>
        <v>125528</v>
      </c>
      <c r="M26" s="39">
        <f>'T10'!N25+'T10'!R25</f>
        <v>125528</v>
      </c>
      <c r="N26" s="38">
        <f>'T11'!N25+'T11'!R25</f>
        <v>125528</v>
      </c>
      <c r="O26" s="38">
        <f>'T12'!N25+'T12'!R25</f>
        <v>125528</v>
      </c>
      <c r="P26" s="61">
        <f t="shared" si="4"/>
        <v>11955216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'T1'!O26+'T1'!S26</f>
        <v>1838720</v>
      </c>
      <c r="E27" s="58">
        <f>'T2'!O28+'T2'!S28</f>
        <v>1838720</v>
      </c>
      <c r="F27" s="34">
        <f>'T3'!O28+'T3'!S28</f>
        <v>1838720</v>
      </c>
      <c r="G27" s="34">
        <f>'T4'!O28+'T4'!S28</f>
        <v>1838720</v>
      </c>
      <c r="H27" s="35">
        <f>'T5'!O28+'T5'!S28</f>
        <v>1838720</v>
      </c>
      <c r="I27" s="35">
        <f>'T6'!O28+'T6'!S28</f>
        <v>1838720</v>
      </c>
      <c r="J27" s="34">
        <f>'T7'!N26+'T7'!R26</f>
        <v>114920</v>
      </c>
      <c r="K27" s="37">
        <f>'T8'!N26+'T8'!R26</f>
        <v>114920</v>
      </c>
      <c r="L27" s="38">
        <f>'T9'!N26+'T9'!R26</f>
        <v>114920</v>
      </c>
      <c r="M27" s="39">
        <f>'T10'!N26+'T10'!R26</f>
        <v>114920</v>
      </c>
      <c r="N27" s="38">
        <f>'T11'!N26+'T11'!R26</f>
        <v>114920</v>
      </c>
      <c r="O27" s="38">
        <f>'T12'!N26+'T12'!R26</f>
        <v>114920</v>
      </c>
      <c r="P27" s="61">
        <f t="shared" si="4"/>
        <v>11721840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'T1'!O27+'T1'!S27</f>
        <v>1838720</v>
      </c>
      <c r="E28" s="58">
        <f>'T2'!O29+'T2'!S29</f>
        <v>2008448</v>
      </c>
      <c r="F28" s="34">
        <f>'T3'!O29+'T3'!S29</f>
        <v>2008448</v>
      </c>
      <c r="G28" s="34">
        <f>'T4'!O29+'T4'!S29</f>
        <v>2008448</v>
      </c>
      <c r="H28" s="35">
        <f>'T5'!O29+'T5'!S29</f>
        <v>2008448</v>
      </c>
      <c r="I28" s="35">
        <f>'T6'!O29+'T6'!S29</f>
        <v>2008448</v>
      </c>
      <c r="J28" s="34">
        <f>'T7'!N27+'T7'!R27</f>
        <v>114920</v>
      </c>
      <c r="K28" s="37">
        <f>'T8'!N27+'T8'!R27</f>
        <v>114920</v>
      </c>
      <c r="L28" s="38">
        <f>'T9'!N27+'T9'!R27</f>
        <v>114920</v>
      </c>
      <c r="M28" s="39">
        <f>'T10'!N27+'T10'!R27</f>
        <v>114920</v>
      </c>
      <c r="N28" s="38">
        <f>'T11'!N27+'T11'!R27</f>
        <v>114920</v>
      </c>
      <c r="O28" s="38">
        <f>'T12'!N27+'T12'!R27</f>
        <v>114920</v>
      </c>
      <c r="P28" s="61">
        <f t="shared" si="4"/>
        <v>12570480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'T1'!O28+'T1'!S28</f>
        <v>1838720</v>
      </c>
      <c r="E29" s="58">
        <f>'T2'!O30+'T2'!S30</f>
        <v>2008448</v>
      </c>
      <c r="F29" s="34">
        <f>'T3'!O30+'T3'!S30</f>
        <v>2008448</v>
      </c>
      <c r="G29" s="34">
        <f>'T4'!O30+'T4'!S30</f>
        <v>2008448</v>
      </c>
      <c r="H29" s="35">
        <f>'T5'!O30+'T5'!S30</f>
        <v>2008448</v>
      </c>
      <c r="I29" s="35">
        <f>'T6'!O30+'T6'!S30</f>
        <v>2008448</v>
      </c>
      <c r="J29" s="34">
        <f>'T7'!N28+'T7'!R28</f>
        <v>114920</v>
      </c>
      <c r="K29" s="37">
        <f>'T8'!N28+'T8'!R28</f>
        <v>114920</v>
      </c>
      <c r="L29" s="38">
        <f>'T9'!N28+'T9'!R28</f>
        <v>114920</v>
      </c>
      <c r="M29" s="39">
        <f>'T10'!N28+'T10'!R28</f>
        <v>114920</v>
      </c>
      <c r="N29" s="38">
        <f>'T11'!N28+'T11'!R28</f>
        <v>114920</v>
      </c>
      <c r="O29" s="38">
        <f>'T12'!N28+'T12'!R28</f>
        <v>114920</v>
      </c>
      <c r="P29" s="61">
        <f t="shared" si="4"/>
        <v>12570480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'T2'!O31+'T2'!S31</f>
        <v>1838720</v>
      </c>
      <c r="F30" s="34">
        <f>'T3'!O31+'T3'!S31</f>
        <v>1838720</v>
      </c>
      <c r="G30" s="34">
        <f>'T4'!O31+'T4'!S31</f>
        <v>1838720</v>
      </c>
      <c r="H30" s="35">
        <f>'T5'!O31+'T5'!S31</f>
        <v>1838720</v>
      </c>
      <c r="I30" s="35">
        <f>'T6'!O31+'T6'!S31</f>
        <v>1838720</v>
      </c>
      <c r="J30" s="34">
        <f>'T7'!N29+'T7'!R29</f>
        <v>125528</v>
      </c>
      <c r="K30" s="37">
        <f>'T8'!N29+'T8'!R29</f>
        <v>125528</v>
      </c>
      <c r="L30" s="38">
        <f>'T9'!N29+'T9'!R29</f>
        <v>125528</v>
      </c>
      <c r="M30" s="39">
        <f>'T10'!N29+'T10'!R29</f>
        <v>125528</v>
      </c>
      <c r="N30" s="38">
        <f>'T11'!N29+'T11'!R29</f>
        <v>125528</v>
      </c>
      <c r="O30" s="38">
        <f>'T12'!N29+'T12'!R29</f>
        <v>125528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 t="e">
        <f>'T1'!#REF!+'T1'!#REF!</f>
        <v>#REF!</v>
      </c>
      <c r="E31" s="58">
        <f>'T2'!O32+'T2'!S32</f>
        <v>1838720</v>
      </c>
      <c r="F31" s="34">
        <f>'T3'!O32+'T3'!S32</f>
        <v>1838720</v>
      </c>
      <c r="G31" s="34">
        <f>'T4'!O32+'T4'!S32</f>
        <v>258570</v>
      </c>
      <c r="H31" s="35">
        <f>'T5'!O32+'T5'!S32</f>
        <v>0</v>
      </c>
      <c r="I31" s="35">
        <f>'T6'!O32+'T6'!S32</f>
        <v>0</v>
      </c>
      <c r="J31" s="34">
        <f>'T7'!N30+'T7'!R30</f>
        <v>125528</v>
      </c>
      <c r="K31" s="37">
        <f>'T8'!N30+'T8'!R30</f>
        <v>125528</v>
      </c>
      <c r="L31" s="38">
        <f>'T9'!N30+'T9'!R30</f>
        <v>125528</v>
      </c>
      <c r="M31" s="39">
        <f>'T10'!N30+'T10'!R30</f>
        <v>125528</v>
      </c>
      <c r="N31" s="38">
        <f>'T11'!N30+'T11'!R30</f>
        <v>125528</v>
      </c>
      <c r="O31" s="38">
        <f>'T12'!N30+'T12'!R30</f>
        <v>125528</v>
      </c>
      <c r="P31" s="61" t="e">
        <f t="shared" si="4"/>
        <v>#REF!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2008448</v>
      </c>
      <c r="E32" s="58">
        <f>'T2'!O33+'T2'!S33</f>
        <v>1838720</v>
      </c>
      <c r="F32" s="34">
        <f>'T3'!O33+'T3'!S33</f>
        <v>1838720</v>
      </c>
      <c r="G32" s="34">
        <f>'T4'!O33+'T4'!S33</f>
        <v>1838720</v>
      </c>
      <c r="H32" s="35">
        <f>'T5'!O33+'T5'!S33</f>
        <v>1838720</v>
      </c>
      <c r="I32" s="35">
        <f>'T6'!O33+'T6'!S33</f>
        <v>1838720</v>
      </c>
      <c r="J32" s="34">
        <f>'T7'!N31+'T7'!R31</f>
        <v>114920</v>
      </c>
      <c r="K32" s="37">
        <f>'T8'!N31+'T8'!R31</f>
        <v>114920</v>
      </c>
      <c r="L32" s="38">
        <f>'T9'!N31+'T9'!R31</f>
        <v>114920</v>
      </c>
      <c r="M32" s="39">
        <f>'T10'!N31+'T10'!R31</f>
        <v>114920</v>
      </c>
      <c r="N32" s="38">
        <f>'T11'!N31+'T11'!R31</f>
        <v>114920</v>
      </c>
      <c r="O32" s="38">
        <f>'T12'!N31+'T12'!R31</f>
        <v>114920</v>
      </c>
      <c r="P32" s="61">
        <f t="shared" si="4"/>
        <v>11891568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2008448</v>
      </c>
      <c r="E33" s="58">
        <f>'T2'!O34+'T2'!S34</f>
        <v>2539264</v>
      </c>
      <c r="F33" s="34">
        <f>'T3'!O34+'T3'!S34</f>
        <v>2539264</v>
      </c>
      <c r="G33" s="34">
        <f>'T4'!O34+'T4'!S34</f>
        <v>2539264</v>
      </c>
      <c r="H33" s="35">
        <f>'T5'!O34+'T5'!S34</f>
        <v>2539264</v>
      </c>
      <c r="I33" s="35">
        <f>'T6'!O34+'T6'!S34</f>
        <v>2539264</v>
      </c>
      <c r="J33" s="34">
        <f>'T7'!N32+'T7'!R32</f>
        <v>0</v>
      </c>
      <c r="K33" s="37">
        <f>'T8'!N32+'T8'!R32</f>
        <v>0</v>
      </c>
      <c r="L33" s="38">
        <f>'T9'!N32+'T9'!R32</f>
        <v>0</v>
      </c>
      <c r="M33" s="39">
        <f>'T10'!N32+'T10'!R32</f>
        <v>114920</v>
      </c>
      <c r="N33" s="38">
        <f>'T11'!N32+'T11'!R32</f>
        <v>0</v>
      </c>
      <c r="O33" s="38">
        <f>'T12'!N32+'T12'!R32</f>
        <v>0</v>
      </c>
      <c r="P33" s="61">
        <f t="shared" si="4"/>
        <v>14819688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1838720</v>
      </c>
      <c r="E34" s="58">
        <f>'T2'!O35+'T2'!S35</f>
        <v>2108288</v>
      </c>
      <c r="F34" s="34">
        <f>'T3'!O35+'T3'!S35</f>
        <v>2108288</v>
      </c>
      <c r="G34" s="34">
        <f>'T4'!O35+'T4'!S35</f>
        <v>2108288</v>
      </c>
      <c r="H34" s="35">
        <f>'T5'!O35+'T5'!S35</f>
        <v>2108288</v>
      </c>
      <c r="I34" s="35">
        <f>'T6'!O35+'T6'!S35</f>
        <v>2108288</v>
      </c>
      <c r="J34" s="34">
        <f>'T7'!N33+'T7'!R33</f>
        <v>114920</v>
      </c>
      <c r="K34" s="37">
        <f>'T8'!N33+'T8'!R33</f>
        <v>114920</v>
      </c>
      <c r="L34" s="38">
        <f>'T9'!N33+'T9'!R33</f>
        <v>114920</v>
      </c>
      <c r="M34" s="39">
        <f>'T10'!N33+'T10'!R33</f>
        <v>114920</v>
      </c>
      <c r="N34" s="38">
        <f>'T11'!N33+'T11'!R33</f>
        <v>114920</v>
      </c>
      <c r="O34" s="38">
        <f>'T12'!N33+'T12'!R33</f>
        <v>0</v>
      </c>
      <c r="P34" s="61">
        <f t="shared" si="4"/>
        <v>12954760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1838720</v>
      </c>
      <c r="E35" s="58">
        <f>'T2'!O36+'T2'!S36</f>
        <v>2108288</v>
      </c>
      <c r="F35" s="34">
        <f>'T3'!O36+'T3'!S36</f>
        <v>2108288</v>
      </c>
      <c r="G35" s="34">
        <f>'T4'!O36+'T4'!S36</f>
        <v>2108288</v>
      </c>
      <c r="H35" s="35">
        <f>'T5'!O36+'T5'!S36</f>
        <v>2108288</v>
      </c>
      <c r="I35" s="35">
        <f>'T6'!O36+'T6'!S36</f>
        <v>2108288</v>
      </c>
      <c r="J35" s="34">
        <f>'T7'!N34+'T7'!R34</f>
        <v>158704</v>
      </c>
      <c r="K35" s="37">
        <f>'T8'!N34+'T8'!R34</f>
        <v>158704</v>
      </c>
      <c r="L35" s="38">
        <f>'T9'!N34+'T9'!R34</f>
        <v>158704</v>
      </c>
      <c r="M35" s="39">
        <f>'T10'!N34+'T10'!R34</f>
        <v>158704</v>
      </c>
      <c r="N35" s="38">
        <f>'T11'!N34+'T11'!R34</f>
        <v>158704</v>
      </c>
      <c r="O35" s="38">
        <f>'T12'!N34+'T12'!R34</f>
        <v>158704</v>
      </c>
      <c r="P35" s="61">
        <f t="shared" si="4"/>
        <v>13332384</v>
      </c>
      <c r="Q35" s="42"/>
    </row>
    <row r="36" spans="1:17" s="26" customFormat="1" ht="12.75" x14ac:dyDescent="0.25">
      <c r="A36" s="29">
        <v>23</v>
      </c>
      <c r="B36" s="63" t="s">
        <v>99</v>
      </c>
      <c r="C36" s="31" t="s">
        <v>30</v>
      </c>
      <c r="D36" s="32">
        <f>'T1'!O33+'T1'!S33</f>
        <v>1838720</v>
      </c>
      <c r="E36" s="58">
        <f>'T2'!O37+'T2'!S37</f>
        <v>1723904</v>
      </c>
      <c r="F36" s="34">
        <f>'T3'!O37+'T3'!S37</f>
        <v>242424</v>
      </c>
      <c r="G36" s="34">
        <f>'T4'!O37+'T4'!S37</f>
        <v>0</v>
      </c>
      <c r="H36" s="35">
        <f>'T5'!O37+'T5'!S37</f>
        <v>0</v>
      </c>
      <c r="I36" s="35">
        <f>'T6'!O37+'T6'!S37</f>
        <v>0</v>
      </c>
      <c r="J36" s="34">
        <f>'T7'!N35+'T7'!R35</f>
        <v>131768</v>
      </c>
      <c r="K36" s="37">
        <f>'T8'!N35+'T8'!R35</f>
        <v>131768</v>
      </c>
      <c r="L36" s="38">
        <f>'T9'!N35+'T9'!R35</f>
        <v>131768</v>
      </c>
      <c r="M36" s="39">
        <f>'T10'!N35+'T10'!R35</f>
        <v>131768</v>
      </c>
      <c r="N36" s="38">
        <f>'T11'!N35+'T11'!R35</f>
        <v>131768</v>
      </c>
      <c r="O36" s="38">
        <f>'T12'!N35+'T12'!R35</f>
        <v>131768</v>
      </c>
      <c r="P36" s="61">
        <f t="shared" si="4"/>
        <v>4595656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2539264</v>
      </c>
      <c r="E37" s="58">
        <f>'T2'!O50+'T2'!S50</f>
        <v>1937728</v>
      </c>
      <c r="F37" s="34">
        <f>'T3'!O50+'T3'!S50</f>
        <v>1937728</v>
      </c>
      <c r="G37" s="34">
        <f>'T4'!O49+'T4'!S49</f>
        <v>1774528</v>
      </c>
      <c r="H37" s="35">
        <f>'T5'!O44+'T5'!S44</f>
        <v>2108288</v>
      </c>
      <c r="I37" s="35">
        <f>'T6'!O44+'T6'!S44</f>
        <v>2108288</v>
      </c>
      <c r="J37" s="34">
        <f>'T7'!N36+'T7'!R36</f>
        <v>131768</v>
      </c>
      <c r="K37" s="37">
        <f>'T8'!N36+'T8'!R36</f>
        <v>131768</v>
      </c>
      <c r="L37" s="38">
        <f>'T9'!N36+'T9'!R36</f>
        <v>131768</v>
      </c>
      <c r="M37" s="39">
        <f>'T10'!N36+'T10'!R36</f>
        <v>131768</v>
      </c>
      <c r="N37" s="38">
        <f>'T11'!N36+'T11'!R36</f>
        <v>131768</v>
      </c>
      <c r="O37" s="38">
        <f>'T12'!N36+'T12'!R36</f>
        <v>131768</v>
      </c>
      <c r="P37" s="61">
        <f t="shared" si="4"/>
        <v>13196432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'T2'!O51+'T2'!S51</f>
        <v>1838720</v>
      </c>
      <c r="F38" s="34">
        <f>'T3'!O51+'T3'!S51</f>
        <v>258570</v>
      </c>
      <c r="G38" s="34">
        <f>'T4'!O50+'T4'!S50</f>
        <v>1937728</v>
      </c>
      <c r="H38" s="35">
        <f>'T5'!O45+'T5'!S45</f>
        <v>2108288</v>
      </c>
      <c r="I38" s="35">
        <f>'T6'!O45+'T6'!S45</f>
        <v>2108288</v>
      </c>
      <c r="J38" s="34">
        <f>'T7'!N37+'T7'!R37</f>
        <v>0</v>
      </c>
      <c r="K38" s="37">
        <f>'T8'!N37+'T8'!R37</f>
        <v>0</v>
      </c>
      <c r="L38" s="38">
        <f>'T9'!N37+'T9'!R37</f>
        <v>0</v>
      </c>
      <c r="M38" s="39">
        <f>'T10'!N37+'T10'!R37</f>
        <v>0</v>
      </c>
      <c r="N38" s="38">
        <f>'T11'!N37+'T11'!R37</f>
        <v>0</v>
      </c>
      <c r="O38" s="38">
        <f>'T12'!N37+'T12'!R37</f>
        <v>0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3" t="s">
        <v>104</v>
      </c>
      <c r="C39" s="31" t="s">
        <v>29</v>
      </c>
      <c r="D39" s="32">
        <f>'T1'!O35+'T1'!S35</f>
        <v>2108288</v>
      </c>
      <c r="E39" s="58">
        <f>'T2'!O52+'T2'!S52</f>
        <v>2015104</v>
      </c>
      <c r="F39" s="34">
        <f>'T3'!O52+'T3'!S52</f>
        <v>2015104</v>
      </c>
      <c r="G39" s="34">
        <f>'T4'!O51+'T4'!S51</f>
        <v>0</v>
      </c>
      <c r="H39" s="35">
        <f>'T5'!O46+'T5'!S46</f>
        <v>1838720</v>
      </c>
      <c r="I39" s="35">
        <f>'T6'!O46+'T6'!S46</f>
        <v>1838720</v>
      </c>
      <c r="J39" s="34">
        <f>'T7'!N42+'T7'!R42</f>
        <v>114920</v>
      </c>
      <c r="K39" s="37">
        <f>'T8'!N42+'T8'!R42</f>
        <v>114920</v>
      </c>
      <c r="L39" s="38">
        <f>'T9'!N42+'T9'!R42</f>
        <v>114920</v>
      </c>
      <c r="M39" s="39">
        <f>'T10'!N40+'T10'!R40</f>
        <v>0</v>
      </c>
      <c r="N39" s="38">
        <f>'T11'!N40+'T11'!R40</f>
        <v>0</v>
      </c>
      <c r="O39" s="38">
        <f>'T12'!N40+'T12'!R40</f>
        <v>0</v>
      </c>
      <c r="P39" s="61">
        <f t="shared" si="4"/>
        <v>10160696</v>
      </c>
      <c r="Q39" s="42"/>
    </row>
    <row r="40" spans="1:17" s="53" customFormat="1" ht="12.75" x14ac:dyDescent="0.25">
      <c r="A40" s="112" t="s">
        <v>38</v>
      </c>
      <c r="B40" s="113"/>
      <c r="C40" s="114"/>
      <c r="D40" s="51" t="e">
        <f t="shared" ref="D40:O40" si="5">SUM(D41:D45)</f>
        <v>#REF!</v>
      </c>
      <c r="E40" s="51">
        <f t="shared" si="5"/>
        <v>69539840</v>
      </c>
      <c r="F40" s="51">
        <f t="shared" si="5"/>
        <v>68316930</v>
      </c>
      <c r="G40" s="51">
        <f t="shared" si="5"/>
        <v>5557760</v>
      </c>
      <c r="H40" s="51">
        <f t="shared" si="5"/>
        <v>76096522</v>
      </c>
      <c r="I40" s="51">
        <f t="shared" si="5"/>
        <v>74431882</v>
      </c>
      <c r="J40" s="51">
        <f t="shared" si="5"/>
        <v>1093024</v>
      </c>
      <c r="K40" s="51">
        <f t="shared" si="5"/>
        <v>1093024</v>
      </c>
      <c r="L40" s="51">
        <f t="shared" si="5"/>
        <v>1093024</v>
      </c>
      <c r="M40" s="51">
        <f t="shared" si="5"/>
        <v>982116</v>
      </c>
      <c r="N40" s="51">
        <f t="shared" si="5"/>
        <v>1113884</v>
      </c>
      <c r="O40" s="51">
        <f t="shared" si="5"/>
        <v>982116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'T2'!O54+'T2'!S54</f>
        <v>2015104</v>
      </c>
      <c r="F41" s="34">
        <f>'T3'!O54+'T3'!S54</f>
        <v>2015104</v>
      </c>
      <c r="G41" s="34">
        <f>'T4'!O53+'T4'!S53</f>
        <v>2015104</v>
      </c>
      <c r="H41" s="35">
        <f>'T5'!O49+'T5'!S49</f>
        <v>1774528</v>
      </c>
      <c r="I41" s="35">
        <f>'T6'!O49+'T6'!S49</f>
        <v>1774528</v>
      </c>
      <c r="J41" s="34">
        <f>'T7'!N44+'T7'!R44</f>
        <v>131768</v>
      </c>
      <c r="K41" s="37">
        <f>'T8'!N44+'T8'!R44</f>
        <v>131768</v>
      </c>
      <c r="L41" s="38">
        <f>'T9'!N44+'T9'!R44</f>
        <v>131768</v>
      </c>
      <c r="M41" s="39">
        <f>'T10'!N43+'T10'!R43</f>
        <v>0</v>
      </c>
      <c r="N41" s="38">
        <f>'T11'!N43+'T11'!R43</f>
        <v>131768</v>
      </c>
      <c r="O41" s="38">
        <f>'T12'!N43+'T12'!R43</f>
        <v>0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'T1'!O49+'T1'!S49</f>
        <v>1774528</v>
      </c>
      <c r="E42" s="58">
        <f>'T2'!O55+'T2'!S55</f>
        <v>1527552</v>
      </c>
      <c r="F42" s="34">
        <f>'T3'!O55+'T3'!S55</f>
        <v>1527552</v>
      </c>
      <c r="G42" s="34">
        <f>'T4'!O54+'T4'!S54</f>
        <v>2015104</v>
      </c>
      <c r="H42" s="35">
        <f>'T5'!O50+'T5'!S50</f>
        <v>1937728</v>
      </c>
      <c r="I42" s="35">
        <f>'T6'!O50+'T6'!S50</f>
        <v>0</v>
      </c>
      <c r="J42" s="34">
        <f>'T7'!N45+'T7'!R45</f>
        <v>131768</v>
      </c>
      <c r="K42" s="37">
        <f>'T8'!N45+'T8'!R45</f>
        <v>131768</v>
      </c>
      <c r="L42" s="38">
        <f>'T9'!N45+'T9'!R45</f>
        <v>131768</v>
      </c>
      <c r="M42" s="39">
        <f>'T10'!N44+'T10'!R44</f>
        <v>131768</v>
      </c>
      <c r="N42" s="38">
        <f>'T11'!N44+'T11'!R44</f>
        <v>131768</v>
      </c>
      <c r="O42" s="38">
        <f>'T12'!N44+'T12'!R44</f>
        <v>131768</v>
      </c>
      <c r="P42" s="61">
        <f t="shared" ref="P42:P49" si="6">SUM(D42:O42)</f>
        <v>9573072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'T1'!O50+'T1'!S50</f>
        <v>1937728</v>
      </c>
      <c r="E43" s="58">
        <f>'T2'!O57+'T2'!S57</f>
        <v>65997184</v>
      </c>
      <c r="F43" s="34">
        <f>'T3'!O57+'T3'!S57</f>
        <v>64774274</v>
      </c>
      <c r="G43" s="34">
        <f>'T4'!O55+'T4'!S55</f>
        <v>1527552</v>
      </c>
      <c r="H43" s="35">
        <f>'T5'!O51+'T5'!S51</f>
        <v>0</v>
      </c>
      <c r="I43" s="35">
        <f>'T6'!O51+'T6'!S51</f>
        <v>0</v>
      </c>
      <c r="J43" s="34">
        <f>'T7'!N46+'T7'!R46</f>
        <v>114920</v>
      </c>
      <c r="K43" s="37">
        <f>'T8'!N46+'T8'!R46</f>
        <v>114920</v>
      </c>
      <c r="L43" s="38">
        <f>'T9'!N46+'T9'!R46</f>
        <v>114920</v>
      </c>
      <c r="M43" s="39">
        <f>'T10'!N45+'T10'!R45</f>
        <v>131768</v>
      </c>
      <c r="N43" s="38">
        <f>'T11'!N45+'T11'!R45</f>
        <v>131768</v>
      </c>
      <c r="O43" s="38">
        <f>'T12'!N45+'T12'!R45</f>
        <v>131768</v>
      </c>
      <c r="P43" s="61">
        <f t="shared" si="6"/>
        <v>134976802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'T1'!O51+'T1'!S51</f>
        <v>1838720</v>
      </c>
      <c r="E44" s="58">
        <f>'T2'!O61+'T2'!S61</f>
        <v>0</v>
      </c>
      <c r="F44" s="34">
        <f>'T3'!O61+'T3'!S61</f>
        <v>0</v>
      </c>
      <c r="G44" s="34">
        <f>'T4'!O60+'T4'!S60</f>
        <v>0</v>
      </c>
      <c r="H44" s="35">
        <f>'T5'!O55+'T5'!S55</f>
        <v>1527552</v>
      </c>
      <c r="I44" s="35">
        <f>'T6'!O55+'T6'!S55</f>
        <v>1838720</v>
      </c>
      <c r="J44" s="34">
        <f>'T7'!N48+'T7'!R48</f>
        <v>603660</v>
      </c>
      <c r="K44" s="37">
        <f>'T8'!N48+'T8'!R48</f>
        <v>603660</v>
      </c>
      <c r="L44" s="38">
        <f>'T9'!N48+'T9'!R48</f>
        <v>603660</v>
      </c>
      <c r="M44" s="39">
        <f>'T10'!N46+'T10'!R46</f>
        <v>114920</v>
      </c>
      <c r="N44" s="38">
        <f>'T11'!N46+'T11'!R46</f>
        <v>114920</v>
      </c>
      <c r="O44" s="38">
        <f>'T12'!N46+'T12'!R46</f>
        <v>114920</v>
      </c>
      <c r="P44" s="61">
        <f t="shared" si="6"/>
        <v>7360732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'T2'!O62+'T2'!S62</f>
        <v>0</v>
      </c>
      <c r="F45" s="34">
        <f>'T3'!O62+'T3'!S62</f>
        <v>0</v>
      </c>
      <c r="G45" s="34">
        <f>'T4'!O61+'T4'!S61</f>
        <v>0</v>
      </c>
      <c r="H45" s="35">
        <f>'T5'!O57+'T5'!S57</f>
        <v>70856714</v>
      </c>
      <c r="I45" s="35">
        <f>'T6'!O57+'T6'!S57</f>
        <v>70818634</v>
      </c>
      <c r="J45" s="34">
        <f>'T7'!N49+'T7'!R49</f>
        <v>110908</v>
      </c>
      <c r="K45" s="37">
        <f>'T8'!N49+'T8'!R49</f>
        <v>110908</v>
      </c>
      <c r="L45" s="38">
        <f>'T9'!N49+'T9'!R49</f>
        <v>110908</v>
      </c>
      <c r="M45" s="39">
        <f>'T10'!N50+'T10'!R50</f>
        <v>603660</v>
      </c>
      <c r="N45" s="38">
        <f>'T11'!N50+'T11'!R50</f>
        <v>603660</v>
      </c>
      <c r="O45" s="38">
        <f>'T12'!N50+'T12'!R50</f>
        <v>603660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'T2'!O63+'T2'!S63</f>
        <v>0</v>
      </c>
      <c r="F46" s="34">
        <f>'T3'!O63+'T3'!S63</f>
        <v>0</v>
      </c>
      <c r="G46" s="34">
        <f>'T4'!O62+'T4'!S62</f>
        <v>0</v>
      </c>
      <c r="H46" s="35">
        <f>'T5'!O58+'T5'!S58</f>
        <v>0</v>
      </c>
      <c r="I46" s="35">
        <f>'T6'!O58+'T6'!S58</f>
        <v>0</v>
      </c>
      <c r="J46" s="34">
        <f>'T7'!N50+'T7'!R50</f>
        <v>0</v>
      </c>
      <c r="K46" s="37">
        <f>'T8'!N50+'T8'!R50</f>
        <v>0</v>
      </c>
      <c r="L46" s="38">
        <f>'T9'!N50+'T9'!R50</f>
        <v>0</v>
      </c>
      <c r="M46" s="39">
        <f>'T10'!N51+'T10'!R51</f>
        <v>110908</v>
      </c>
      <c r="N46" s="38">
        <f>'T11'!N51+'T11'!R51</f>
        <v>110908</v>
      </c>
      <c r="O46" s="38">
        <f>'T12'!N51+'T12'!R51</f>
        <v>110908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 t="e">
        <f>'T1'!#REF!+'T1'!#REF!</f>
        <v>#REF!</v>
      </c>
      <c r="E47" s="58">
        <f>'T2'!O64+'T2'!S64</f>
        <v>0</v>
      </c>
      <c r="F47" s="34">
        <f>'T3'!O64+'T3'!S64</f>
        <v>0</v>
      </c>
      <c r="G47" s="34">
        <f>'T4'!O63+'T4'!S63</f>
        <v>0</v>
      </c>
      <c r="H47" s="35">
        <f>'T5'!O59+'T5'!S59</f>
        <v>0</v>
      </c>
      <c r="I47" s="35">
        <f>'T6'!O59+'T6'!S59</f>
        <v>0</v>
      </c>
      <c r="J47" s="34">
        <f>'T7'!N51+'T7'!R51</f>
        <v>0</v>
      </c>
      <c r="K47" s="37">
        <f>'T8'!N51+'T8'!R51</f>
        <v>0</v>
      </c>
      <c r="L47" s="38">
        <f>'T9'!N51+'T9'!R51</f>
        <v>0</v>
      </c>
      <c r="M47" s="39">
        <f>'T10'!N52+'T10'!R52</f>
        <v>0</v>
      </c>
      <c r="N47" s="38">
        <f>'T11'!N52+'T11'!R52</f>
        <v>0</v>
      </c>
      <c r="O47" s="38">
        <f>'T12'!N52+'T12'!R52</f>
        <v>0</v>
      </c>
      <c r="P47" s="61" t="e">
        <f t="shared" si="6"/>
        <v>#REF!</v>
      </c>
      <c r="Q47" s="42"/>
    </row>
    <row r="48" spans="1:17" s="26" customFormat="1" ht="12.75" x14ac:dyDescent="0.25">
      <c r="A48" s="29">
        <v>34</v>
      </c>
      <c r="B48" s="64" t="s">
        <v>105</v>
      </c>
      <c r="C48" s="31" t="s">
        <v>40</v>
      </c>
      <c r="D48" s="32">
        <f>'T1'!O52+'T1'!S52</f>
        <v>2015104</v>
      </c>
      <c r="E48" s="58">
        <f>'T2'!O65+'T2'!S65</f>
        <v>0</v>
      </c>
      <c r="F48" s="34">
        <f>'T3'!O65+'T3'!S65</f>
        <v>0</v>
      </c>
      <c r="G48" s="34">
        <f>'T4'!O64+'T4'!S64</f>
        <v>0</v>
      </c>
      <c r="H48" s="35">
        <f>'T5'!O60+'T5'!S60</f>
        <v>0</v>
      </c>
      <c r="I48" s="35">
        <f>'T6'!O60+'T6'!S60</f>
        <v>0</v>
      </c>
      <c r="J48" s="34">
        <f>'T7'!N53+'T7'!R53</f>
        <v>125944</v>
      </c>
      <c r="K48" s="37">
        <f>'T8'!N53+'T8'!R53</f>
        <v>125944</v>
      </c>
      <c r="L48" s="38">
        <f>'T9'!N53+'T9'!R53</f>
        <v>125944</v>
      </c>
      <c r="M48" s="39">
        <f>'T10'!N53+'T10'!R53</f>
        <v>0</v>
      </c>
      <c r="N48" s="38">
        <f>'T11'!N53+'T11'!R53</f>
        <v>0</v>
      </c>
      <c r="O48" s="38">
        <f>'T12'!N53+'T12'!R53</f>
        <v>0</v>
      </c>
      <c r="P48" s="61">
        <f t="shared" si="6"/>
        <v>2392936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 t="e">
        <f>'T1'!#REF!+'T1'!#REF!</f>
        <v>#REF!</v>
      </c>
      <c r="E49" s="58">
        <f>'T2'!O66+'T2'!S66</f>
        <v>0</v>
      </c>
      <c r="F49" s="34">
        <f>'T3'!O66+'T3'!S66</f>
        <v>0</v>
      </c>
      <c r="G49" s="34">
        <f>'T4'!O65+'T4'!S65</f>
        <v>0</v>
      </c>
      <c r="H49" s="35">
        <f>'T5'!O61+'T5'!S61</f>
        <v>0</v>
      </c>
      <c r="I49" s="35">
        <f>'T6'!O61+'T6'!S61</f>
        <v>0</v>
      </c>
      <c r="J49" s="34">
        <f>'T7'!N54+'T7'!R54</f>
        <v>125944</v>
      </c>
      <c r="K49" s="37">
        <f>'T8'!N54+'T8'!R54</f>
        <v>125944</v>
      </c>
      <c r="L49" s="38">
        <f>'T9'!N54+'T9'!R54</f>
        <v>125944</v>
      </c>
      <c r="M49" s="39">
        <f>'T10'!N55+'T10'!R55</f>
        <v>125944</v>
      </c>
      <c r="N49" s="38">
        <f>'T11'!N55+'T11'!R55</f>
        <v>125944</v>
      </c>
      <c r="O49" s="38">
        <f>'T12'!N55+'T12'!R55</f>
        <v>125944</v>
      </c>
      <c r="P49" s="61" t="e">
        <f t="shared" si="6"/>
        <v>#REF!</v>
      </c>
      <c r="Q49" s="42"/>
    </row>
    <row r="50" spans="1:17" s="26" customFormat="1" ht="12.75" x14ac:dyDescent="0.25">
      <c r="A50" s="115" t="s">
        <v>43</v>
      </c>
      <c r="B50" s="116"/>
      <c r="C50" s="46"/>
      <c r="D50" s="47" t="e">
        <f t="shared" ref="D50:P50" si="7">D11+D13+D15+D40</f>
        <v>#REF!</v>
      </c>
      <c r="E50" s="47" t="e">
        <f t="shared" si="7"/>
        <v>#REF!</v>
      </c>
      <c r="F50" s="47" t="e">
        <f t="shared" si="7"/>
        <v>#REF!</v>
      </c>
      <c r="G50" s="47" t="e">
        <f t="shared" si="7"/>
        <v>#REF!</v>
      </c>
      <c r="H50" s="47" t="e">
        <f t="shared" si="7"/>
        <v>#REF!</v>
      </c>
      <c r="I50" s="47" t="e">
        <f t="shared" si="7"/>
        <v>#REF!</v>
      </c>
      <c r="J50" s="47" t="e">
        <f t="shared" si="7"/>
        <v>#REF!</v>
      </c>
      <c r="K50" s="47" t="e">
        <f t="shared" si="7"/>
        <v>#REF!</v>
      </c>
      <c r="L50" s="47" t="e">
        <f t="shared" si="7"/>
        <v>#REF!</v>
      </c>
      <c r="M50" s="47" t="e">
        <f t="shared" si="7"/>
        <v>#REF!</v>
      </c>
      <c r="N50" s="47" t="e">
        <f t="shared" si="7"/>
        <v>#REF!</v>
      </c>
      <c r="O50" s="47" t="e">
        <f t="shared" si="7"/>
        <v>#REF!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104" t="s">
        <v>82</v>
      </c>
      <c r="N52" s="104"/>
      <c r="O52" s="104"/>
      <c r="P52" s="104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117" t="s">
        <v>45</v>
      </c>
      <c r="H53" s="117"/>
      <c r="I53" s="16"/>
      <c r="J53" s="16"/>
      <c r="L53" s="10"/>
      <c r="M53" s="117" t="s">
        <v>46</v>
      </c>
      <c r="N53" s="117"/>
      <c r="O53" s="117"/>
      <c r="P53" s="117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104" t="s">
        <v>48</v>
      </c>
      <c r="H54" s="104"/>
      <c r="I54" s="16"/>
      <c r="J54" s="16"/>
      <c r="K54" s="16"/>
      <c r="L54" s="16"/>
      <c r="M54" s="104" t="s">
        <v>47</v>
      </c>
      <c r="N54" s="104"/>
      <c r="O54" s="104"/>
      <c r="P54" s="104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A5:Q5"/>
    <mergeCell ref="A6:Q6"/>
    <mergeCell ref="A8:A9"/>
    <mergeCell ref="B8:B9"/>
    <mergeCell ref="C8:C9"/>
    <mergeCell ref="D8:O8"/>
    <mergeCell ref="P8:P9"/>
    <mergeCell ref="Q8:Q9"/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25" workbookViewId="0">
      <pane xSplit="4" topLeftCell="E1" activePane="topRight" state="frozen"/>
      <selection activeCell="A7" sqref="A7"/>
      <selection pane="topRight" activeCell="A56" sqref="A56:XFD56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SUM(D18:D41)</f>
        <v>139994000</v>
      </c>
      <c r="E17" s="51">
        <f t="shared" si="3"/>
        <v>598</v>
      </c>
      <c r="F17" s="51">
        <f t="shared" si="3"/>
        <v>116206800</v>
      </c>
      <c r="G17" s="51">
        <f t="shared" si="3"/>
        <v>23787200</v>
      </c>
      <c r="H17" s="51">
        <f t="shared" si="3"/>
        <v>99096400</v>
      </c>
      <c r="I17" s="51">
        <f t="shared" si="3"/>
        <v>16790000</v>
      </c>
      <c r="J17" s="51">
        <f t="shared" si="3"/>
        <v>133331746.84900002</v>
      </c>
      <c r="K17" s="51">
        <f t="shared" si="3"/>
        <v>389212146.84900004</v>
      </c>
      <c r="L17" s="51">
        <f t="shared" si="3"/>
        <v>11199520</v>
      </c>
      <c r="M17" s="51">
        <f t="shared" si="3"/>
        <v>2099910</v>
      </c>
      <c r="N17" s="51">
        <f t="shared" si="3"/>
        <v>1399940</v>
      </c>
      <c r="O17" s="51">
        <f t="shared" si="3"/>
        <v>14699370</v>
      </c>
      <c r="P17" s="51">
        <f t="shared" si="3"/>
        <v>24498950</v>
      </c>
      <c r="Q17" s="51">
        <f t="shared" si="3"/>
        <v>4199820</v>
      </c>
      <c r="R17" s="51">
        <f t="shared" si="3"/>
        <v>1399940</v>
      </c>
      <c r="S17" s="51">
        <f t="shared" si="3"/>
        <v>30098710</v>
      </c>
      <c r="T17" s="51">
        <f t="shared" si="3"/>
        <v>372355367.84900004</v>
      </c>
      <c r="U17" s="51">
        <f t="shared" si="3"/>
        <v>0</v>
      </c>
      <c r="V17" s="51">
        <f t="shared" si="3"/>
        <v>372422146.84900004</v>
      </c>
      <c r="W17" s="51">
        <f t="shared" si="3"/>
        <v>253000000</v>
      </c>
      <c r="X17" s="51">
        <f t="shared" si="3"/>
        <v>101200000</v>
      </c>
      <c r="Y17" s="51">
        <f t="shared" si="3"/>
        <v>41875752.900499992</v>
      </c>
      <c r="Z17" s="51">
        <f t="shared" si="3"/>
        <v>2157409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7675083.2480000006</v>
      </c>
      <c r="K18" s="36">
        <f>F18+G18+H18+I18+J18</f>
        <v>18387883.248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17379580.248</v>
      </c>
      <c r="U18" s="42"/>
      <c r="V18" s="68">
        <f>K18-I18</f>
        <v>17657883.248</v>
      </c>
      <c r="W18" s="69">
        <v>11000000</v>
      </c>
      <c r="X18" s="69"/>
      <c r="Y18" s="69">
        <f>MAX(V18-O18-W18-X18,0)</f>
        <v>5999533.2479999997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349953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6578642.784</v>
      </c>
      <c r="K19" s="36">
        <f t="shared" ref="K19:K40" si="10">F19+G19+H19+I19+J19</f>
        <v>16765842.784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16161046.784</v>
      </c>
      <c r="U19" s="42"/>
      <c r="V19" s="68">
        <f t="shared" si="1"/>
        <v>16035842.784</v>
      </c>
      <c r="W19" s="69">
        <v>11000000</v>
      </c>
      <c r="X19" s="69">
        <f>4400000</f>
        <v>4400000</v>
      </c>
      <c r="Y19" s="69">
        <f t="shared" ref="Y19:Y54" si="15">MAX(V19-O19-W19-X19,0)</f>
        <v>32680.783999999985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1634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6578642.784</v>
      </c>
      <c r="K20" s="36">
        <f t="shared" si="10"/>
        <v>16765842.784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16161046.784</v>
      </c>
      <c r="U20" s="42"/>
      <c r="V20" s="68">
        <f t="shared" si="1"/>
        <v>16035842.784</v>
      </c>
      <c r="W20" s="69">
        <v>11000000</v>
      </c>
      <c r="X20" s="69">
        <f>4400000</f>
        <v>4400000</v>
      </c>
      <c r="Y20" s="69">
        <f t="shared" si="15"/>
        <v>32680.783999999985</v>
      </c>
      <c r="Z20" s="69">
        <f t="shared" si="16"/>
        <v>1634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7388466.2725</v>
      </c>
      <c r="K21" s="36">
        <f t="shared" si="10"/>
        <v>18101266.272500001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17442916.272500001</v>
      </c>
      <c r="U21" s="42"/>
      <c r="V21" s="68">
        <f t="shared" si="1"/>
        <v>17371266.272500001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4385761.8559999997</v>
      </c>
      <c r="K22" s="36">
        <f t="shared" si="10"/>
        <v>15944761.855999999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15341431.855999999</v>
      </c>
      <c r="U22" s="42"/>
      <c r="V22" s="68">
        <f t="shared" si="1"/>
        <v>15214761.855999999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4385761.8559999997</v>
      </c>
      <c r="K23" s="36">
        <f t="shared" si="10"/>
        <v>15944761.855999999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15160859.855999999</v>
      </c>
      <c r="U23" s="42"/>
      <c r="V23" s="68">
        <f t="shared" si="1"/>
        <v>15214761.855999999</v>
      </c>
      <c r="W23" s="69">
        <v>11000000</v>
      </c>
      <c r="X23" s="69"/>
      <c r="Y23" s="69">
        <f t="shared" si="15"/>
        <v>3611431.8559999987</v>
      </c>
      <c r="Z23" s="69">
        <f t="shared" si="16"/>
        <v>180572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4385761.8559999997</v>
      </c>
      <c r="K24" s="36">
        <f t="shared" si="10"/>
        <v>15944761.855999999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15160859.855999999</v>
      </c>
      <c r="U24" s="42"/>
      <c r="V24" s="68">
        <f t="shared" si="1"/>
        <v>15214761.855999999</v>
      </c>
      <c r="W24" s="69">
        <v>11000000</v>
      </c>
      <c r="X24" s="69"/>
      <c r="Y24" s="69">
        <f t="shared" si="15"/>
        <v>3611431.8559999987</v>
      </c>
      <c r="Z24" s="69">
        <f t="shared" si="16"/>
        <v>180572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6578642.784</v>
      </c>
      <c r="K25" s="36">
        <f t="shared" si="10"/>
        <v>17297842.784000002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16638820.784000002</v>
      </c>
      <c r="U25" s="42"/>
      <c r="V25" s="68">
        <f t="shared" si="1"/>
        <v>16567842.784000002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5910773.0180000002</v>
      </c>
      <c r="K26" s="36">
        <f t="shared" si="10"/>
        <v>17469773.017999999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16602799.017999999</v>
      </c>
      <c r="U26" s="42"/>
      <c r="V26" s="68">
        <f t="shared" si="1"/>
        <v>16739773.017999999</v>
      </c>
      <c r="W26" s="69">
        <v>11000000</v>
      </c>
      <c r="X26" s="69"/>
      <c r="Y26" s="69">
        <f t="shared" si="15"/>
        <v>5136443.0179999992</v>
      </c>
      <c r="Z26" s="69">
        <f t="shared" si="16"/>
        <v>263644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4385761.8559999997</v>
      </c>
      <c r="K27" s="36">
        <f t="shared" si="10"/>
        <v>15944761.855999999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15160859.855999999</v>
      </c>
      <c r="U27" s="42"/>
      <c r="V27" s="68">
        <f t="shared" si="1"/>
        <v>15214761.855999999</v>
      </c>
      <c r="W27" s="69">
        <v>11000000</v>
      </c>
      <c r="X27" s="69"/>
      <c r="Y27" s="69">
        <f t="shared" si="15"/>
        <v>3611431.8559999987</v>
      </c>
      <c r="Z27" s="69">
        <f t="shared" si="16"/>
        <v>180572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5910773.0180000002</v>
      </c>
      <c r="K28" s="36">
        <f t="shared" si="10"/>
        <v>17469773.017999999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16866443.017999999</v>
      </c>
      <c r="U28" s="42"/>
      <c r="V28" s="68">
        <f t="shared" si="1"/>
        <v>16739773.017999999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7388466.2725</v>
      </c>
      <c r="K29" s="36">
        <f t="shared" si="10"/>
        <v>18107666.272500001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17448644.272500001</v>
      </c>
      <c r="U29" s="42"/>
      <c r="V29" s="68">
        <f t="shared" si="1"/>
        <v>17377666.272500001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7388466.2725</v>
      </c>
      <c r="K30" s="36">
        <f t="shared" si="10"/>
        <v>18107666.272500001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17382712.272500001</v>
      </c>
      <c r="U30" s="42"/>
      <c r="V30" s="68">
        <f t="shared" si="1"/>
        <v>17377666.272500001</v>
      </c>
      <c r="W30" s="69">
        <v>11000000</v>
      </c>
      <c r="X30" s="69">
        <f>4400000</f>
        <v>4400000</v>
      </c>
      <c r="Y30" s="69">
        <f t="shared" si="15"/>
        <v>1318644.2725000009</v>
      </c>
      <c r="Z30" s="69">
        <f t="shared" si="16"/>
        <v>65932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5910773.0180000002</v>
      </c>
      <c r="K31" s="36">
        <f t="shared" si="10"/>
        <v>17469773.017999999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16866443.017999999</v>
      </c>
      <c r="U31" s="42"/>
      <c r="V31" s="68">
        <f t="shared" si="1"/>
        <v>16739773.017999999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5910773.0180000002</v>
      </c>
      <c r="K32" s="36">
        <f t="shared" si="10"/>
        <v>17469773.017999999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16866443.017999999</v>
      </c>
      <c r="U32" s="42"/>
      <c r="V32" s="68">
        <f t="shared" si="1"/>
        <v>16739773.017999999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4385761.8559999997</v>
      </c>
      <c r="K33" s="36">
        <f t="shared" si="10"/>
        <v>15944761.855999999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15160859.855999999</v>
      </c>
      <c r="U33" s="42"/>
      <c r="V33" s="68">
        <f t="shared" si="1"/>
        <v>15214761.855999999</v>
      </c>
      <c r="W33" s="69">
        <v>11000000</v>
      </c>
      <c r="X33" s="69"/>
      <c r="Y33" s="69">
        <f t="shared" si="15"/>
        <v>3611431.8559999987</v>
      </c>
      <c r="Z33" s="69">
        <f t="shared" si="16"/>
        <v>180572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10343852.781500001</v>
      </c>
      <c r="K34" s="36">
        <f t="shared" si="10"/>
        <v>22854452.781500001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22021256.781500001</v>
      </c>
      <c r="U34" s="42"/>
      <c r="V34" s="68">
        <f t="shared" si="1"/>
        <v>22124452.781500001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4385761.8559999997</v>
      </c>
      <c r="K35" s="36">
        <f t="shared" si="10"/>
        <v>15416961.855999999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14575420.855999999</v>
      </c>
      <c r="U35" s="42"/>
      <c r="V35" s="68">
        <f t="shared" si="1"/>
        <v>14686961.855999999</v>
      </c>
      <c r="W35" s="69">
        <v>11000000</v>
      </c>
      <c r="X35" s="69"/>
      <c r="Y35" s="69">
        <f t="shared" si="15"/>
        <v>2995179.8559999987</v>
      </c>
      <c r="Z35" s="69">
        <f t="shared" si="16"/>
        <v>149759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6578642.784</v>
      </c>
      <c r="K36" s="36">
        <f t="shared" si="10"/>
        <v>17609842.784000002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16878657.784000002</v>
      </c>
      <c r="U36" s="42"/>
      <c r="V36" s="68">
        <f t="shared" si="1"/>
        <v>16879842.784000002</v>
      </c>
      <c r="W36" s="69">
        <v>11000000</v>
      </c>
      <c r="X36" s="69">
        <f>4400000</f>
        <v>4400000</v>
      </c>
      <c r="Y36" s="69">
        <f t="shared" si="15"/>
        <v>788060.78400000185</v>
      </c>
      <c r="Z36" s="69">
        <f t="shared" si="16"/>
        <v>39403</v>
      </c>
    </row>
    <row r="37" spans="1:26" s="53" customFormat="1" ht="21.75" customHeight="1" x14ac:dyDescent="0.25">
      <c r="A37" s="29">
        <v>22</v>
      </c>
      <c r="B37" s="30" t="s">
        <v>119</v>
      </c>
      <c r="C37" s="31" t="s">
        <v>120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2192880.9279999998</v>
      </c>
      <c r="K37" s="36">
        <f t="shared" si="10"/>
        <v>11890280.927999999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4"/>
        <v>11324624.927999999</v>
      </c>
      <c r="U37" s="42"/>
      <c r="V37" s="68">
        <f t="shared" si="1"/>
        <v>11160280.927999999</v>
      </c>
      <c r="W37" s="69">
        <v>11000000</v>
      </c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23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4385761.8559999997</v>
      </c>
      <c r="K38" s="36">
        <f t="shared" si="10"/>
        <v>15416961.855999999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14575420.855999999</v>
      </c>
      <c r="U38" s="42"/>
      <c r="V38" s="68">
        <f t="shared" si="1"/>
        <v>14686961.855999999</v>
      </c>
      <c r="W38" s="69">
        <v>11000000</v>
      </c>
      <c r="X38" s="69"/>
      <c r="Y38" s="69">
        <f t="shared" si="15"/>
        <v>2995179.8559999987</v>
      </c>
      <c r="Z38" s="69">
        <f t="shared" si="16"/>
        <v>149759</v>
      </c>
    </row>
    <row r="39" spans="1:26" s="53" customFormat="1" ht="21.75" customHeight="1" x14ac:dyDescent="0.25">
      <c r="A39" s="29">
        <v>24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4385761.8559999997</v>
      </c>
      <c r="K39" s="36">
        <f t="shared" si="10"/>
        <v>15416961.855999999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14575420.855999999</v>
      </c>
      <c r="U39" s="42"/>
      <c r="V39" s="68">
        <f t="shared" si="1"/>
        <v>14686961.855999999</v>
      </c>
      <c r="W39" s="69">
        <v>11000000</v>
      </c>
      <c r="X39" s="69"/>
      <c r="Y39" s="69">
        <f t="shared" si="15"/>
        <v>2995179.8559999987</v>
      </c>
      <c r="Z39" s="69">
        <f t="shared" si="16"/>
        <v>149759</v>
      </c>
    </row>
    <row r="40" spans="1:26" s="53" customFormat="1" ht="21.75" customHeight="1" x14ac:dyDescent="0.25">
      <c r="A40" s="29">
        <v>25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5910773.0180000002</v>
      </c>
      <c r="K40" s="36">
        <f t="shared" si="10"/>
        <v>17469773.017999999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16602799.017999999</v>
      </c>
      <c r="U40" s="42"/>
      <c r="V40" s="68">
        <f t="shared" si="1"/>
        <v>16739773.017999999</v>
      </c>
      <c r="W40" s="69">
        <v>11000000</v>
      </c>
      <c r="X40" s="69"/>
      <c r="Y40" s="69">
        <f t="shared" si="15"/>
        <v>5136443.0179999992</v>
      </c>
      <c r="Z40" s="69">
        <f t="shared" si="16"/>
        <v>263644</v>
      </c>
    </row>
    <row r="41" spans="1:26" s="53" customFormat="1" ht="21.75" customHeight="1" x14ac:dyDescent="0.25">
      <c r="A41" s="29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/>
      <c r="B42" s="30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68"/>
      <c r="W42" s="69"/>
      <c r="X42" s="69"/>
      <c r="Y42" s="69"/>
      <c r="Z42" s="69"/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19">SUM(D49:D55)</f>
        <v>41012000</v>
      </c>
      <c r="E48" s="51">
        <f t="shared" si="19"/>
        <v>182</v>
      </c>
      <c r="F48" s="51">
        <f t="shared" si="19"/>
        <v>34111800</v>
      </c>
      <c r="G48" s="51">
        <f t="shared" si="19"/>
        <v>6900200</v>
      </c>
      <c r="H48" s="51">
        <f t="shared" si="19"/>
        <v>26431600</v>
      </c>
      <c r="I48" s="51">
        <f t="shared" si="19"/>
        <v>5110000</v>
      </c>
      <c r="J48" s="51">
        <f t="shared" si="19"/>
        <v>0</v>
      </c>
      <c r="K48" s="51">
        <f t="shared" si="19"/>
        <v>72553600</v>
      </c>
      <c r="L48" s="51">
        <f t="shared" si="19"/>
        <v>3280960</v>
      </c>
      <c r="M48" s="51">
        <f t="shared" si="19"/>
        <v>615180</v>
      </c>
      <c r="N48" s="51">
        <f t="shared" si="19"/>
        <v>410120</v>
      </c>
      <c r="O48" s="51">
        <f t="shared" si="19"/>
        <v>4306260</v>
      </c>
      <c r="P48" s="51">
        <f t="shared" si="19"/>
        <v>7177100</v>
      </c>
      <c r="Q48" s="51">
        <f t="shared" si="19"/>
        <v>1230360</v>
      </c>
      <c r="R48" s="51">
        <f t="shared" si="19"/>
        <v>410120</v>
      </c>
      <c r="S48" s="51">
        <f t="shared" si="19"/>
        <v>8817580</v>
      </c>
      <c r="T48" s="51">
        <f t="shared" si="19"/>
        <v>68247340</v>
      </c>
      <c r="U48" s="51">
        <f t="shared" si="19"/>
        <v>0</v>
      </c>
      <c r="V48" s="51">
        <f t="shared" si="19"/>
        <v>67443600</v>
      </c>
      <c r="W48" s="51">
        <f t="shared" si="19"/>
        <v>77000000</v>
      </c>
      <c r="X48" s="51">
        <f t="shared" si="19"/>
        <v>4400000</v>
      </c>
      <c r="Y48" s="51">
        <f t="shared" si="19"/>
        <v>0</v>
      </c>
      <c r="Z48" s="51">
        <f t="shared" si="19"/>
        <v>0</v>
      </c>
    </row>
    <row r="49" spans="1:26" s="26" customFormat="1" ht="21.75" customHeight="1" x14ac:dyDescent="0.25">
      <c r="A49" s="29">
        <v>26</v>
      </c>
      <c r="B49" s="30" t="s">
        <v>42</v>
      </c>
      <c r="C49" s="31" t="s">
        <v>41</v>
      </c>
      <c r="D49" s="43">
        <f t="shared" ref="D49:D54" si="20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21">D49*8%</f>
        <v>443632</v>
      </c>
      <c r="M49" s="38">
        <f t="shared" ref="M49:M54" si="22">D49*1.5%</f>
        <v>83181</v>
      </c>
      <c r="N49" s="39">
        <f t="shared" ref="N49:N54" si="23">D49*1%</f>
        <v>55454</v>
      </c>
      <c r="O49" s="40">
        <f t="shared" ref="O49:O54" si="24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25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27</v>
      </c>
      <c r="B50" s="30" t="s">
        <v>79</v>
      </c>
      <c r="C50" s="31" t="s">
        <v>40</v>
      </c>
      <c r="D50" s="43">
        <f t="shared" si="20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26">F50+G50+H50+I50+J50</f>
        <v>10542400</v>
      </c>
      <c r="L50" s="37">
        <f t="shared" si="21"/>
        <v>484432</v>
      </c>
      <c r="M50" s="38">
        <f t="shared" si="22"/>
        <v>90831</v>
      </c>
      <c r="N50" s="39">
        <f t="shared" si="23"/>
        <v>60554</v>
      </c>
      <c r="O50" s="40">
        <f t="shared" si="24"/>
        <v>635817</v>
      </c>
      <c r="P50" s="38">
        <f t="shared" ref="P50:P52" si="27">D50*17.5%</f>
        <v>1059695</v>
      </c>
      <c r="Q50" s="38">
        <f t="shared" ref="Q50:Q54" si="28">D50*3%</f>
        <v>181662</v>
      </c>
      <c r="R50" s="38">
        <f t="shared" ref="R50:R54" si="29">D50*1%</f>
        <v>60554</v>
      </c>
      <c r="S50" s="40">
        <f t="shared" si="25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>
        <v>28</v>
      </c>
      <c r="B51" s="30" t="s">
        <v>81</v>
      </c>
      <c r="C51" s="31" t="s">
        <v>41</v>
      </c>
      <c r="D51" s="43">
        <f t="shared" si="20"/>
        <v>5746000</v>
      </c>
      <c r="E51" s="33">
        <v>26</v>
      </c>
      <c r="F51" s="34">
        <v>4773600</v>
      </c>
      <c r="G51" s="34">
        <v>972400</v>
      </c>
      <c r="H51" s="35">
        <v>3757000</v>
      </c>
      <c r="I51" s="35">
        <v>730000</v>
      </c>
      <c r="J51" s="35"/>
      <c r="K51" s="36">
        <f t="shared" si="26"/>
        <v>10233000</v>
      </c>
      <c r="L51" s="37">
        <f t="shared" si="21"/>
        <v>459680</v>
      </c>
      <c r="M51" s="38">
        <f t="shared" si="22"/>
        <v>86190</v>
      </c>
      <c r="N51" s="39">
        <f t="shared" si="23"/>
        <v>57460</v>
      </c>
      <c r="O51" s="40">
        <f t="shared" si="24"/>
        <v>603330</v>
      </c>
      <c r="P51" s="38">
        <f t="shared" si="27"/>
        <v>1005549.9999999999</v>
      </c>
      <c r="Q51" s="38">
        <f t="shared" si="28"/>
        <v>172380</v>
      </c>
      <c r="R51" s="38">
        <f t="shared" si="29"/>
        <v>57460</v>
      </c>
      <c r="S51" s="40">
        <f t="shared" si="25"/>
        <v>1235390</v>
      </c>
      <c r="T51" s="41">
        <f t="shared" si="14"/>
        <v>9629670</v>
      </c>
      <c r="U51" s="42"/>
      <c r="V51" s="68">
        <f t="shared" si="1"/>
        <v>9503000</v>
      </c>
      <c r="W51" s="69">
        <v>11000000</v>
      </c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29">
        <v>29</v>
      </c>
      <c r="B52" s="30" t="s">
        <v>105</v>
      </c>
      <c r="C52" s="31" t="s">
        <v>40</v>
      </c>
      <c r="D52" s="43">
        <f t="shared" si="20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26"/>
        <v>10828400</v>
      </c>
      <c r="L52" s="37">
        <f t="shared" si="21"/>
        <v>503776</v>
      </c>
      <c r="M52" s="38">
        <f t="shared" si="22"/>
        <v>94458</v>
      </c>
      <c r="N52" s="39">
        <f t="shared" si="23"/>
        <v>62972</v>
      </c>
      <c r="O52" s="40">
        <f t="shared" si="24"/>
        <v>661206</v>
      </c>
      <c r="P52" s="38">
        <f t="shared" si="27"/>
        <v>1102010</v>
      </c>
      <c r="Q52" s="38">
        <f t="shared" si="28"/>
        <v>188916</v>
      </c>
      <c r="R52" s="38">
        <f t="shared" si="29"/>
        <v>62972</v>
      </c>
      <c r="S52" s="40">
        <f t="shared" si="25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30</v>
      </c>
      <c r="B53" s="30" t="s">
        <v>117</v>
      </c>
      <c r="C53" s="31" t="s">
        <v>40</v>
      </c>
      <c r="D53" s="43">
        <f t="shared" si="20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26"/>
        <v>10828400</v>
      </c>
      <c r="L53" s="37">
        <f t="shared" si="21"/>
        <v>503776</v>
      </c>
      <c r="M53" s="38">
        <f t="shared" si="22"/>
        <v>94458</v>
      </c>
      <c r="N53" s="39">
        <f t="shared" si="23"/>
        <v>62972</v>
      </c>
      <c r="O53" s="40">
        <f t="shared" si="24"/>
        <v>661206</v>
      </c>
      <c r="P53" s="38">
        <f>D53*17.5%</f>
        <v>1102010</v>
      </c>
      <c r="Q53" s="38">
        <f t="shared" si="28"/>
        <v>188916</v>
      </c>
      <c r="R53" s="38">
        <f t="shared" si="29"/>
        <v>62972</v>
      </c>
      <c r="S53" s="40">
        <f t="shared" si="25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29">
        <v>31</v>
      </c>
      <c r="B54" s="30" t="s">
        <v>121</v>
      </c>
      <c r="C54" s="31" t="s">
        <v>40</v>
      </c>
      <c r="D54" s="43">
        <f t="shared" si="20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26"/>
        <v>10828400</v>
      </c>
      <c r="L54" s="37">
        <f t="shared" si="21"/>
        <v>503776</v>
      </c>
      <c r="M54" s="38">
        <f t="shared" si="22"/>
        <v>94458</v>
      </c>
      <c r="N54" s="39">
        <f t="shared" si="23"/>
        <v>62972</v>
      </c>
      <c r="O54" s="40">
        <f t="shared" si="24"/>
        <v>661206</v>
      </c>
      <c r="P54" s="38">
        <f>D54*17.5%</f>
        <v>1102010</v>
      </c>
      <c r="Q54" s="38">
        <f t="shared" si="28"/>
        <v>188916</v>
      </c>
      <c r="R54" s="38">
        <f t="shared" si="29"/>
        <v>62972</v>
      </c>
      <c r="S54" s="40">
        <f t="shared" si="25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62">
        <v>32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30">D11+D13+D17+D48</f>
        <v>206241200</v>
      </c>
      <c r="E57" s="47">
        <f t="shared" si="30"/>
        <v>832</v>
      </c>
      <c r="F57" s="47">
        <f t="shared" si="30"/>
        <v>170910600</v>
      </c>
      <c r="G57" s="47">
        <f t="shared" si="30"/>
        <v>35330600</v>
      </c>
      <c r="H57" s="47">
        <f t="shared" si="30"/>
        <v>129461800</v>
      </c>
      <c r="I57" s="47">
        <f t="shared" si="30"/>
        <v>22630000</v>
      </c>
      <c r="J57" s="47">
        <f t="shared" si="30"/>
        <v>133331746.84900002</v>
      </c>
      <c r="K57" s="47">
        <f t="shared" si="30"/>
        <v>478499546.84900004</v>
      </c>
      <c r="L57" s="47">
        <f t="shared" si="30"/>
        <v>16499296</v>
      </c>
      <c r="M57" s="47">
        <f t="shared" si="30"/>
        <v>3093618</v>
      </c>
      <c r="N57" s="47">
        <f t="shared" si="30"/>
        <v>2062412</v>
      </c>
      <c r="O57" s="47">
        <f t="shared" si="30"/>
        <v>21655326</v>
      </c>
      <c r="P57" s="47">
        <f t="shared" si="30"/>
        <v>36092210</v>
      </c>
      <c r="Q57" s="47">
        <f t="shared" si="30"/>
        <v>6187236</v>
      </c>
      <c r="R57" s="47">
        <f t="shared" si="30"/>
        <v>2062412</v>
      </c>
      <c r="S57" s="47">
        <f t="shared" si="30"/>
        <v>44341858</v>
      </c>
      <c r="T57" s="47">
        <f t="shared" si="30"/>
        <v>455882334.84900004</v>
      </c>
      <c r="U57" s="47">
        <f t="shared" si="30"/>
        <v>0</v>
      </c>
      <c r="V57" s="47">
        <f t="shared" si="30"/>
        <v>455869546.84900004</v>
      </c>
      <c r="W57" s="47">
        <f t="shared" si="30"/>
        <v>341000000</v>
      </c>
      <c r="X57" s="47">
        <f t="shared" si="30"/>
        <v>105600000</v>
      </c>
      <c r="Y57" s="47">
        <f t="shared" si="30"/>
        <v>45612202.900499992</v>
      </c>
      <c r="Z57" s="47">
        <f t="shared" si="30"/>
        <v>2344232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141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58:T58"/>
    <mergeCell ref="N59:T59"/>
    <mergeCell ref="N60:T60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Z8:Z9"/>
    <mergeCell ref="V8:V9"/>
    <mergeCell ref="A48:C48"/>
    <mergeCell ref="A57:B57"/>
    <mergeCell ref="W8:W9"/>
    <mergeCell ref="X8:X9"/>
    <mergeCell ref="Y8:Y9"/>
    <mergeCell ref="U8:U9"/>
    <mergeCell ref="J8:J9"/>
    <mergeCell ref="A11:C11"/>
    <mergeCell ref="A17:C17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4" workbookViewId="0">
      <pane xSplit="4" topLeftCell="E1" activePane="topRight" state="frozen"/>
      <selection activeCell="A7" sqref="A7"/>
      <selection pane="topRight" activeCell="K57" sqref="K5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 t="shared" ref="D17:Z17" si="3">SUM(D18:D42)</f>
        <v>145740000</v>
      </c>
      <c r="E17" s="51">
        <f t="shared" si="3"/>
        <v>598</v>
      </c>
      <c r="F17" s="51">
        <f t="shared" si="3"/>
        <v>116300400</v>
      </c>
      <c r="G17" s="51">
        <f t="shared" si="3"/>
        <v>24052400</v>
      </c>
      <c r="H17" s="51">
        <f t="shared" si="3"/>
        <v>100599200</v>
      </c>
      <c r="I17" s="51">
        <f t="shared" si="3"/>
        <v>16790000</v>
      </c>
      <c r="J17" s="51">
        <f t="shared" si="3"/>
        <v>68087043.020000026</v>
      </c>
      <c r="K17" s="51">
        <f t="shared" si="3"/>
        <v>325829043.01999998</v>
      </c>
      <c r="L17" s="51">
        <f t="shared" si="3"/>
        <v>11228224</v>
      </c>
      <c r="M17" s="51">
        <f t="shared" si="3"/>
        <v>2186100</v>
      </c>
      <c r="N17" s="51">
        <f t="shared" si="3"/>
        <v>1403528</v>
      </c>
      <c r="O17" s="51">
        <f t="shared" si="3"/>
        <v>14817852</v>
      </c>
      <c r="P17" s="51">
        <f t="shared" si="3"/>
        <v>24561740</v>
      </c>
      <c r="Q17" s="51">
        <f t="shared" si="3"/>
        <v>4372200</v>
      </c>
      <c r="R17" s="51">
        <f t="shared" si="3"/>
        <v>1403528</v>
      </c>
      <c r="S17" s="51">
        <f t="shared" si="3"/>
        <v>30337468</v>
      </c>
      <c r="T17" s="51">
        <f t="shared" si="3"/>
        <v>309948231.01999998</v>
      </c>
      <c r="U17" s="51">
        <f t="shared" si="3"/>
        <v>0</v>
      </c>
      <c r="V17" s="51">
        <f t="shared" si="3"/>
        <v>309039043.01999998</v>
      </c>
      <c r="W17" s="51">
        <f t="shared" si="3"/>
        <v>253000000</v>
      </c>
      <c r="X17" s="51">
        <f t="shared" si="3"/>
        <v>101200000</v>
      </c>
      <c r="Y17" s="51">
        <f t="shared" si="3"/>
        <v>21259192.033999998</v>
      </c>
      <c r="Z17" s="51">
        <f t="shared" si="3"/>
        <v>1062960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5665708.3840000005</v>
      </c>
      <c r="K18" s="36">
        <f>F18+G18+H18+I18+J18</f>
        <v>16378508.384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15520650.384</v>
      </c>
      <c r="U18" s="42"/>
      <c r="V18" s="68">
        <f>K18-I18</f>
        <v>15648508.384</v>
      </c>
      <c r="W18" s="69">
        <v>11000000</v>
      </c>
      <c r="X18" s="69"/>
      <c r="Y18" s="69">
        <f>MAX(V18-O18-W18-X18,0)</f>
        <v>3990158.3839999996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199508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4856321.4720000001</v>
      </c>
      <c r="K19" s="36">
        <f t="shared" ref="K19:K40" si="10">F19+G19+H19+I19+J19</f>
        <v>15043521.471999999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14440359.471999999</v>
      </c>
      <c r="U19" s="42"/>
      <c r="V19" s="68">
        <f t="shared" si="1"/>
        <v>14313521.471999999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4856321.4720000001</v>
      </c>
      <c r="K20" s="36">
        <f t="shared" si="10"/>
        <v>15043521.471999999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14440359.471999999</v>
      </c>
      <c r="U20" s="42"/>
      <c r="V20" s="68">
        <f t="shared" si="1"/>
        <v>14313521.471999999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2149568.5750000002</v>
      </c>
      <c r="K21" s="36">
        <f t="shared" si="10"/>
        <v>12862368.574999999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12204018.574999999</v>
      </c>
      <c r="U21" s="42"/>
      <c r="V21" s="68">
        <f t="shared" si="1"/>
        <v>12132368.574999999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3237547.648</v>
      </c>
      <c r="K22" s="36">
        <f t="shared" si="10"/>
        <v>14796547.648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14193217.648</v>
      </c>
      <c r="U22" s="42"/>
      <c r="V22" s="68">
        <f t="shared" si="1"/>
        <v>14066547.648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3237547.648</v>
      </c>
      <c r="K23" s="36">
        <f t="shared" si="10"/>
        <v>14796547.648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14070056.648</v>
      </c>
      <c r="U23" s="42"/>
      <c r="V23" s="68">
        <f t="shared" si="1"/>
        <v>14066547.648</v>
      </c>
      <c r="W23" s="69">
        <v>11000000</v>
      </c>
      <c r="X23" s="69"/>
      <c r="Y23" s="69">
        <f t="shared" si="15"/>
        <v>2463217.648</v>
      </c>
      <c r="Z23" s="69">
        <f t="shared" si="16"/>
        <v>123161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3237547.648</v>
      </c>
      <c r="K24" s="36">
        <f t="shared" si="10"/>
        <v>14796547.648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14070056.648</v>
      </c>
      <c r="U24" s="42"/>
      <c r="V24" s="68">
        <f t="shared" si="1"/>
        <v>14066547.648</v>
      </c>
      <c r="W24" s="69">
        <v>11000000</v>
      </c>
      <c r="X24" s="69"/>
      <c r="Y24" s="69">
        <f t="shared" si="15"/>
        <v>2463217.648</v>
      </c>
      <c r="Z24" s="69">
        <f t="shared" si="16"/>
        <v>123161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4856321.4720000001</v>
      </c>
      <c r="K25" s="36">
        <f t="shared" si="10"/>
        <v>15575521.471999999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14916499.471999999</v>
      </c>
      <c r="U25" s="42"/>
      <c r="V25" s="68">
        <f t="shared" si="1"/>
        <v>14845521.471999999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1289741.145</v>
      </c>
      <c r="K26" s="36">
        <f t="shared" si="10"/>
        <v>12848741.145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12219640.145</v>
      </c>
      <c r="U26" s="42"/>
      <c r="V26" s="68">
        <f t="shared" si="1"/>
        <v>12118741.145</v>
      </c>
      <c r="W26" s="69">
        <v>11000000</v>
      </c>
      <c r="X26" s="69"/>
      <c r="Y26" s="69">
        <f t="shared" si="15"/>
        <v>515411.14499999955</v>
      </c>
      <c r="Z26" s="69">
        <f t="shared" si="16"/>
        <v>25771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3237547.648</v>
      </c>
      <c r="K27" s="36">
        <f t="shared" si="10"/>
        <v>14796547.648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14070056.648</v>
      </c>
      <c r="U27" s="42"/>
      <c r="V27" s="68">
        <f t="shared" si="1"/>
        <v>14066547.648</v>
      </c>
      <c r="W27" s="69">
        <v>11000000</v>
      </c>
      <c r="X27" s="69"/>
      <c r="Y27" s="69">
        <f t="shared" si="15"/>
        <v>2463217.648</v>
      </c>
      <c r="Z27" s="69">
        <f t="shared" si="16"/>
        <v>123161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1289741.145</v>
      </c>
      <c r="K28" s="36">
        <f t="shared" si="10"/>
        <v>12848741.145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12245411.145</v>
      </c>
      <c r="U28" s="42"/>
      <c r="V28" s="68">
        <f t="shared" si="1"/>
        <v>12118741.145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2149568.5750000002</v>
      </c>
      <c r="K29" s="36">
        <f t="shared" si="10"/>
        <v>12868768.574999999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12209746.574999999</v>
      </c>
      <c r="U29" s="42"/>
      <c r="V29" s="68">
        <f t="shared" si="1"/>
        <v>12138768.574999999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2149568.5750000002</v>
      </c>
      <c r="K30" s="36">
        <f t="shared" si="10"/>
        <v>12868768.574999999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12209746.574999999</v>
      </c>
      <c r="U30" s="42"/>
      <c r="V30" s="68">
        <f t="shared" si="1"/>
        <v>12138768.574999999</v>
      </c>
      <c r="W30" s="69">
        <v>11000000</v>
      </c>
      <c r="X30" s="69">
        <f>4400000</f>
        <v>4400000</v>
      </c>
      <c r="Y30" s="69">
        <f t="shared" si="15"/>
        <v>0</v>
      </c>
      <c r="Z30" s="69">
        <f t="shared" si="16"/>
        <v>0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1289741.145</v>
      </c>
      <c r="K31" s="36">
        <f t="shared" si="10"/>
        <v>12848741.145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12245411.145</v>
      </c>
      <c r="U31" s="42"/>
      <c r="V31" s="68">
        <f t="shared" si="1"/>
        <v>12118741.145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53" customFormat="1" ht="21.75" customHeight="1" x14ac:dyDescent="0.25">
      <c r="A32" s="29">
        <v>17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1289741.145</v>
      </c>
      <c r="K32" s="36">
        <f t="shared" si="10"/>
        <v>12848741.145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 t="shared" si="14"/>
        <v>12245411.145</v>
      </c>
      <c r="U32" s="42"/>
      <c r="V32" s="68">
        <f t="shared" si="1"/>
        <v>12118741.145</v>
      </c>
      <c r="W32" s="69">
        <v>11000000</v>
      </c>
      <c r="X32" s="69">
        <f>4400000*3</f>
        <v>13200000</v>
      </c>
      <c r="Y32" s="69">
        <f t="shared" si="15"/>
        <v>0</v>
      </c>
      <c r="Z32" s="69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3237547.648</v>
      </c>
      <c r="K33" s="36">
        <f t="shared" si="10"/>
        <v>14796547.648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14070056.648</v>
      </c>
      <c r="U33" s="42"/>
      <c r="V33" s="68">
        <f t="shared" si="1"/>
        <v>14066547.648</v>
      </c>
      <c r="W33" s="69">
        <v>11000000</v>
      </c>
      <c r="X33" s="69"/>
      <c r="Y33" s="69">
        <f t="shared" si="15"/>
        <v>2463217.648</v>
      </c>
      <c r="Z33" s="69">
        <f t="shared" si="16"/>
        <v>123161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2579482.29</v>
      </c>
      <c r="K34" s="36">
        <f t="shared" si="10"/>
        <v>15090082.289999999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14256886.289999999</v>
      </c>
      <c r="U34" s="42"/>
      <c r="V34" s="68">
        <f t="shared" si="1"/>
        <v>14360082.289999999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3237547.648</v>
      </c>
      <c r="K35" s="36">
        <f t="shared" si="10"/>
        <v>14268747.648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13484617.648</v>
      </c>
      <c r="U35" s="42"/>
      <c r="V35" s="68">
        <f t="shared" si="1"/>
        <v>13538747.648</v>
      </c>
      <c r="W35" s="69">
        <v>11000000</v>
      </c>
      <c r="X35" s="69"/>
      <c r="Y35" s="69">
        <f t="shared" si="15"/>
        <v>1846965.648</v>
      </c>
      <c r="Z35" s="69">
        <f t="shared" si="16"/>
        <v>92348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4856321.4720000001</v>
      </c>
      <c r="K36" s="36">
        <f t="shared" si="10"/>
        <v>15887521.471999999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15195739.471999999</v>
      </c>
      <c r="U36" s="42"/>
      <c r="V36" s="68">
        <f t="shared" si="1"/>
        <v>15157521.471999999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B37" s="30" t="s">
        <v>119</v>
      </c>
      <c r="C37" s="31" t="s">
        <v>120</v>
      </c>
      <c r="D37" s="32">
        <v>5387200</v>
      </c>
      <c r="E37" s="33"/>
      <c r="F37" s="34"/>
      <c r="G37" s="34"/>
      <c r="H37" s="35"/>
      <c r="I37" s="35"/>
      <c r="J37" s="35"/>
      <c r="K37" s="36"/>
      <c r="L37" s="37"/>
      <c r="M37" s="38">
        <f t="shared" si="5"/>
        <v>80808</v>
      </c>
      <c r="N37" s="39"/>
      <c r="O37" s="40">
        <f>L37+M37+N37</f>
        <v>80808</v>
      </c>
      <c r="P37" s="38"/>
      <c r="Q37" s="38">
        <f t="shared" si="12"/>
        <v>161616</v>
      </c>
      <c r="R37" s="38"/>
      <c r="S37" s="40">
        <f t="shared" si="8"/>
        <v>161616</v>
      </c>
      <c r="T37" s="41">
        <f t="shared" si="14"/>
        <v>-80808</v>
      </c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62">
        <v>22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3237547.648</v>
      </c>
      <c r="K38" s="36">
        <f t="shared" si="10"/>
        <v>14268747.648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13484617.648</v>
      </c>
      <c r="U38" s="42"/>
      <c r="V38" s="68">
        <f t="shared" si="1"/>
        <v>13538747.648</v>
      </c>
      <c r="W38" s="69">
        <v>11000000</v>
      </c>
      <c r="X38" s="69"/>
      <c r="Y38" s="69">
        <f t="shared" si="15"/>
        <v>1846965.648</v>
      </c>
      <c r="Z38" s="69">
        <f t="shared" si="16"/>
        <v>92348</v>
      </c>
    </row>
    <row r="39" spans="1:26" s="53" customFormat="1" ht="21.75" customHeight="1" x14ac:dyDescent="0.25">
      <c r="A39" s="29">
        <v>23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3237547.648</v>
      </c>
      <c r="K39" s="36">
        <f t="shared" si="10"/>
        <v>14268747.648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13484617.648</v>
      </c>
      <c r="U39" s="42"/>
      <c r="V39" s="68">
        <f t="shared" si="1"/>
        <v>13538747.648</v>
      </c>
      <c r="W39" s="69">
        <v>11000000</v>
      </c>
      <c r="X39" s="69"/>
      <c r="Y39" s="69">
        <f t="shared" si="15"/>
        <v>1846965.648</v>
      </c>
      <c r="Z39" s="69">
        <f t="shared" si="16"/>
        <v>92348</v>
      </c>
    </row>
    <row r="40" spans="1:26" s="53" customFormat="1" ht="21.75" customHeight="1" x14ac:dyDescent="0.25">
      <c r="A40" s="62">
        <v>24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1289741.145</v>
      </c>
      <c r="K40" s="36">
        <f t="shared" si="10"/>
        <v>12848741.145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12219640.145</v>
      </c>
      <c r="U40" s="42"/>
      <c r="V40" s="68">
        <f t="shared" si="1"/>
        <v>12118741.145</v>
      </c>
      <c r="W40" s="69">
        <v>11000000</v>
      </c>
      <c r="X40" s="69"/>
      <c r="Y40" s="69">
        <f t="shared" si="15"/>
        <v>515411.14499999955</v>
      </c>
      <c r="Z40" s="69">
        <f t="shared" si="16"/>
        <v>25771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" si="19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1618773.824</v>
      </c>
      <c r="K42" s="36">
        <f t="shared" ref="K42" si="20">F42+G42+H42+I42+J42</f>
        <v>13177773.824000001</v>
      </c>
      <c r="L42" s="37">
        <f t="shared" ref="L42" si="21">D42*8%</f>
        <v>459680</v>
      </c>
      <c r="M42" s="38">
        <f t="shared" ref="M42" si="22">D42*1.5%</f>
        <v>86190</v>
      </c>
      <c r="N42" s="39">
        <f t="shared" ref="N42" si="23">D42*1%</f>
        <v>57460</v>
      </c>
      <c r="O42" s="40">
        <f t="shared" ref="O42" si="24">L42+M42+N42</f>
        <v>603330</v>
      </c>
      <c r="P42" s="38">
        <f t="shared" ref="P42" si="25">D42*17.5%</f>
        <v>1005549.9999999999</v>
      </c>
      <c r="Q42" s="38">
        <f t="shared" ref="Q42" si="26">D42*3%</f>
        <v>172380</v>
      </c>
      <c r="R42" s="38">
        <f t="shared" ref="R42" si="27">D42*1%</f>
        <v>57460</v>
      </c>
      <c r="S42" s="40">
        <f t="shared" ref="S42" si="28">P42+Q42+R42</f>
        <v>1235390</v>
      </c>
      <c r="T42" s="41">
        <f t="shared" ref="T42" si="29">K42-O42-Z42</f>
        <v>12532221.824000001</v>
      </c>
      <c r="U42" s="42"/>
      <c r="V42" s="68">
        <f t="shared" ref="V42" si="30">K42-I42</f>
        <v>12447773.824000001</v>
      </c>
      <c r="W42" s="69">
        <v>11000000</v>
      </c>
      <c r="X42" s="69"/>
      <c r="Y42" s="69">
        <f t="shared" ref="Y42" si="31">MAX(V42-O42-W42-X42,0)</f>
        <v>844443.82400000095</v>
      </c>
      <c r="Z42" s="69">
        <f t="shared" ref="Z42" si="32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42222</v>
      </c>
    </row>
    <row r="43" spans="1:26" s="53" customFormat="1" ht="21.75" customHeight="1" x14ac:dyDescent="0.25">
      <c r="A43" s="62"/>
      <c r="B43" s="63"/>
      <c r="C43" s="45"/>
      <c r="D43" s="32"/>
      <c r="E43" s="33"/>
      <c r="F43" s="34"/>
      <c r="G43" s="34"/>
      <c r="H43" s="35"/>
      <c r="I43" s="35"/>
      <c r="J43" s="35"/>
      <c r="K43" s="36"/>
      <c r="L43" s="37"/>
      <c r="M43" s="38"/>
      <c r="N43" s="39"/>
      <c r="O43" s="40"/>
      <c r="P43" s="38"/>
      <c r="Q43" s="38"/>
      <c r="R43" s="38"/>
      <c r="S43" s="40"/>
      <c r="T43" s="41"/>
      <c r="U43" s="42"/>
      <c r="V43" s="68"/>
      <c r="W43" s="69"/>
      <c r="X43" s="69"/>
      <c r="Y43" s="69"/>
      <c r="Z43" s="69"/>
    </row>
    <row r="44" spans="1:26" s="53" customFormat="1" ht="21.75" customHeight="1" x14ac:dyDescent="0.25">
      <c r="A44" s="62"/>
      <c r="B44" s="63"/>
      <c r="C44" s="45"/>
      <c r="D44" s="32"/>
      <c r="E44" s="33"/>
      <c r="F44" s="34"/>
      <c r="G44" s="34"/>
      <c r="H44" s="35"/>
      <c r="I44" s="35"/>
      <c r="J44" s="35"/>
      <c r="K44" s="36"/>
      <c r="L44" s="37"/>
      <c r="M44" s="38"/>
      <c r="N44" s="39"/>
      <c r="O44" s="40"/>
      <c r="P44" s="38"/>
      <c r="Q44" s="38"/>
      <c r="R44" s="38"/>
      <c r="S44" s="40"/>
      <c r="T44" s="41"/>
      <c r="U44" s="42"/>
      <c r="V44" s="68"/>
      <c r="W44" s="69"/>
      <c r="X44" s="69"/>
      <c r="Y44" s="69"/>
      <c r="Z44" s="69"/>
    </row>
    <row r="45" spans="1:26" s="53" customFormat="1" ht="21.75" customHeight="1" x14ac:dyDescent="0.25">
      <c r="A45" s="62"/>
      <c r="B45" s="63"/>
      <c r="C45" s="45"/>
      <c r="D45" s="32"/>
      <c r="E45" s="33"/>
      <c r="F45" s="34"/>
      <c r="G45" s="34"/>
      <c r="H45" s="35"/>
      <c r="I45" s="35"/>
      <c r="J45" s="35"/>
      <c r="K45" s="36"/>
      <c r="L45" s="37"/>
      <c r="M45" s="38"/>
      <c r="N45" s="39"/>
      <c r="O45" s="40"/>
      <c r="P45" s="38"/>
      <c r="Q45" s="38"/>
      <c r="R45" s="38"/>
      <c r="S45" s="40"/>
      <c r="T45" s="41"/>
      <c r="U45" s="42"/>
      <c r="V45" s="68"/>
      <c r="W45" s="69"/>
      <c r="X45" s="69"/>
      <c r="Y45" s="69"/>
      <c r="Z45" s="69"/>
    </row>
    <row r="46" spans="1:26" s="53" customFormat="1" ht="21.75" customHeight="1" x14ac:dyDescent="0.25">
      <c r="A46" s="62"/>
      <c r="B46" s="63"/>
      <c r="C46" s="45"/>
      <c r="D46" s="32"/>
      <c r="E46" s="33"/>
      <c r="F46" s="34"/>
      <c r="G46" s="34"/>
      <c r="H46" s="35"/>
      <c r="I46" s="35"/>
      <c r="J46" s="35"/>
      <c r="K46" s="36"/>
      <c r="L46" s="37"/>
      <c r="M46" s="38"/>
      <c r="N46" s="39"/>
      <c r="O46" s="40"/>
      <c r="P46" s="38"/>
      <c r="Q46" s="38"/>
      <c r="R46" s="38"/>
      <c r="S46" s="40"/>
      <c r="T46" s="41"/>
      <c r="U46" s="42"/>
      <c r="V46" s="68"/>
      <c r="W46" s="69"/>
      <c r="X46" s="69"/>
      <c r="Y46" s="69"/>
      <c r="Z46" s="69"/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 t="shared" ref="D48:Z48" si="33">SUM(D49:D55)</f>
        <v>41012000</v>
      </c>
      <c r="E48" s="51">
        <f t="shared" si="33"/>
        <v>156</v>
      </c>
      <c r="F48" s="51">
        <f t="shared" si="33"/>
        <v>29338200</v>
      </c>
      <c r="G48" s="51">
        <f t="shared" si="33"/>
        <v>5927800</v>
      </c>
      <c r="H48" s="51">
        <f t="shared" si="33"/>
        <v>22674600</v>
      </c>
      <c r="I48" s="51">
        <f t="shared" si="33"/>
        <v>4380000</v>
      </c>
      <c r="J48" s="51">
        <f t="shared" si="33"/>
        <v>0</v>
      </c>
      <c r="K48" s="51">
        <f>SUM(K49:K55)</f>
        <v>62320600</v>
      </c>
      <c r="L48" s="51">
        <f t="shared" si="33"/>
        <v>2821280</v>
      </c>
      <c r="M48" s="51">
        <f t="shared" si="33"/>
        <v>615180</v>
      </c>
      <c r="N48" s="51">
        <f t="shared" si="33"/>
        <v>352660</v>
      </c>
      <c r="O48" s="51">
        <f t="shared" si="33"/>
        <v>3789120</v>
      </c>
      <c r="P48" s="51">
        <f t="shared" si="33"/>
        <v>6171550</v>
      </c>
      <c r="Q48" s="51">
        <f t="shared" si="33"/>
        <v>1230360</v>
      </c>
      <c r="R48" s="51">
        <f t="shared" si="33"/>
        <v>352660</v>
      </c>
      <c r="S48" s="51">
        <f t="shared" si="33"/>
        <v>7754570</v>
      </c>
      <c r="T48" s="51">
        <f t="shared" si="33"/>
        <v>58531480</v>
      </c>
      <c r="U48" s="51">
        <f t="shared" si="33"/>
        <v>0</v>
      </c>
      <c r="V48" s="51">
        <f>SUM(V49:V55)</f>
        <v>57940600</v>
      </c>
      <c r="W48" s="51">
        <f t="shared" si="33"/>
        <v>66000000</v>
      </c>
      <c r="X48" s="51">
        <f t="shared" si="33"/>
        <v>4400000</v>
      </c>
      <c r="Y48" s="51">
        <f t="shared" si="33"/>
        <v>0</v>
      </c>
      <c r="Z48" s="51">
        <f t="shared" si="33"/>
        <v>0</v>
      </c>
    </row>
    <row r="49" spans="1:26" s="26" customFormat="1" ht="21.75" customHeight="1" x14ac:dyDescent="0.25">
      <c r="A49" s="29">
        <v>26</v>
      </c>
      <c r="B49" s="30" t="s">
        <v>42</v>
      </c>
      <c r="C49" s="31" t="s">
        <v>41</v>
      </c>
      <c r="D49" s="43">
        <f t="shared" ref="D49:D54" si="34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35">D49*8%</f>
        <v>443632</v>
      </c>
      <c r="M49" s="38">
        <f t="shared" ref="M49:M54" si="36">D49*1.5%</f>
        <v>83181</v>
      </c>
      <c r="N49" s="39">
        <f t="shared" ref="N49:N54" si="37">D49*1%</f>
        <v>55454</v>
      </c>
      <c r="O49" s="40">
        <f t="shared" ref="O49:O54" si="38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39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27</v>
      </c>
      <c r="B50" s="30" t="s">
        <v>79</v>
      </c>
      <c r="C50" s="31" t="s">
        <v>40</v>
      </c>
      <c r="D50" s="43">
        <f t="shared" si="34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40">F50+G50+H50+I50+J50</f>
        <v>10542400</v>
      </c>
      <c r="L50" s="37">
        <f t="shared" si="35"/>
        <v>484432</v>
      </c>
      <c r="M50" s="38">
        <f t="shared" si="36"/>
        <v>90831</v>
      </c>
      <c r="N50" s="39">
        <f t="shared" si="37"/>
        <v>60554</v>
      </c>
      <c r="O50" s="40">
        <f t="shared" si="38"/>
        <v>635817</v>
      </c>
      <c r="P50" s="38">
        <f t="shared" ref="P50:P52" si="41">D50*17.5%</f>
        <v>1059695</v>
      </c>
      <c r="Q50" s="38">
        <f t="shared" ref="Q50:Q54" si="42">D50*3%</f>
        <v>181662</v>
      </c>
      <c r="R50" s="38">
        <f t="shared" ref="R50:R54" si="43">D50*1%</f>
        <v>60554</v>
      </c>
      <c r="S50" s="40">
        <f t="shared" si="39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>
        <v>5746000</v>
      </c>
      <c r="E51" s="33"/>
      <c r="F51" s="34"/>
      <c r="G51" s="34"/>
      <c r="H51" s="35"/>
      <c r="I51" s="35"/>
      <c r="J51" s="35"/>
      <c r="K51" s="36"/>
      <c r="L51" s="37"/>
      <c r="M51" s="38">
        <f t="shared" si="36"/>
        <v>86190</v>
      </c>
      <c r="N51" s="39"/>
      <c r="O51" s="40">
        <f t="shared" si="38"/>
        <v>86190</v>
      </c>
      <c r="P51" s="38"/>
      <c r="Q51" s="38">
        <f t="shared" si="42"/>
        <v>172380</v>
      </c>
      <c r="R51" s="38"/>
      <c r="S51" s="40">
        <f t="shared" si="39"/>
        <v>172380</v>
      </c>
      <c r="T51" s="41">
        <f t="shared" si="14"/>
        <v>-86190</v>
      </c>
      <c r="U51" s="42"/>
      <c r="V51" s="68">
        <f t="shared" si="1"/>
        <v>0</v>
      </c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28</v>
      </c>
      <c r="B52" s="30" t="s">
        <v>105</v>
      </c>
      <c r="C52" s="31" t="s">
        <v>40</v>
      </c>
      <c r="D52" s="43">
        <f t="shared" si="34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40"/>
        <v>10828400</v>
      </c>
      <c r="L52" s="37">
        <f t="shared" si="35"/>
        <v>503776</v>
      </c>
      <c r="M52" s="38">
        <f t="shared" si="36"/>
        <v>94458</v>
      </c>
      <c r="N52" s="39">
        <f t="shared" si="37"/>
        <v>62972</v>
      </c>
      <c r="O52" s="40">
        <f t="shared" si="38"/>
        <v>661206</v>
      </c>
      <c r="P52" s="38">
        <f t="shared" si="41"/>
        <v>1102010</v>
      </c>
      <c r="Q52" s="38">
        <f t="shared" si="42"/>
        <v>188916</v>
      </c>
      <c r="R52" s="38">
        <f t="shared" si="43"/>
        <v>62972</v>
      </c>
      <c r="S52" s="40">
        <f t="shared" si="39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29">
        <v>29</v>
      </c>
      <c r="B53" s="64" t="s">
        <v>117</v>
      </c>
      <c r="C53" s="31" t="s">
        <v>40</v>
      </c>
      <c r="D53" s="43">
        <f t="shared" si="34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0"/>
        <v>10828400</v>
      </c>
      <c r="L53" s="37">
        <f t="shared" si="35"/>
        <v>503776</v>
      </c>
      <c r="M53" s="38">
        <f t="shared" si="36"/>
        <v>94458</v>
      </c>
      <c r="N53" s="39">
        <f t="shared" si="37"/>
        <v>62972</v>
      </c>
      <c r="O53" s="40">
        <f t="shared" si="38"/>
        <v>661206</v>
      </c>
      <c r="P53" s="38">
        <f>D53*17.5%</f>
        <v>1102010</v>
      </c>
      <c r="Q53" s="38">
        <f t="shared" si="42"/>
        <v>188916</v>
      </c>
      <c r="R53" s="38">
        <f t="shared" si="43"/>
        <v>62972</v>
      </c>
      <c r="S53" s="40">
        <f t="shared" si="39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62">
        <v>30</v>
      </c>
      <c r="B54" s="30" t="s">
        <v>121</v>
      </c>
      <c r="C54" s="31" t="s">
        <v>40</v>
      </c>
      <c r="D54" s="43">
        <f t="shared" si="34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0"/>
        <v>10828400</v>
      </c>
      <c r="L54" s="37">
        <f t="shared" si="35"/>
        <v>503776</v>
      </c>
      <c r="M54" s="38">
        <f t="shared" si="36"/>
        <v>94458</v>
      </c>
      <c r="N54" s="39">
        <f t="shared" si="37"/>
        <v>62972</v>
      </c>
      <c r="O54" s="40">
        <f t="shared" si="38"/>
        <v>661206</v>
      </c>
      <c r="P54" s="38">
        <f>D54*17.5%</f>
        <v>1102010</v>
      </c>
      <c r="Q54" s="38">
        <f t="shared" si="42"/>
        <v>188916</v>
      </c>
      <c r="R54" s="38">
        <f t="shared" si="43"/>
        <v>62972</v>
      </c>
      <c r="S54" s="40">
        <f t="shared" si="39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29">
        <v>31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44">D11+D13+D17+D48</f>
        <v>211987200</v>
      </c>
      <c r="E57" s="47">
        <f t="shared" si="44"/>
        <v>806</v>
      </c>
      <c r="F57" s="47">
        <f t="shared" si="44"/>
        <v>166230600</v>
      </c>
      <c r="G57" s="47">
        <f t="shared" si="44"/>
        <v>34623400</v>
      </c>
      <c r="H57" s="47">
        <f t="shared" si="44"/>
        <v>127207600</v>
      </c>
      <c r="I57" s="47">
        <f t="shared" si="44"/>
        <v>21900000</v>
      </c>
      <c r="J57" s="47">
        <f t="shared" si="44"/>
        <v>68087043.020000026</v>
      </c>
      <c r="K57" s="47">
        <f t="shared" si="44"/>
        <v>404883443.01999998</v>
      </c>
      <c r="L57" s="47">
        <f t="shared" si="44"/>
        <v>16068320</v>
      </c>
      <c r="M57" s="47">
        <f t="shared" si="44"/>
        <v>3179808</v>
      </c>
      <c r="N57" s="47">
        <f t="shared" si="44"/>
        <v>2008540</v>
      </c>
      <c r="O57" s="47">
        <f t="shared" si="44"/>
        <v>21256668</v>
      </c>
      <c r="P57" s="47">
        <f t="shared" si="44"/>
        <v>35149450</v>
      </c>
      <c r="Q57" s="47">
        <f t="shared" si="44"/>
        <v>6359616</v>
      </c>
      <c r="R57" s="47">
        <f t="shared" si="44"/>
        <v>2008540</v>
      </c>
      <c r="S57" s="47">
        <f t="shared" si="44"/>
        <v>43517606</v>
      </c>
      <c r="T57" s="47">
        <f t="shared" si="44"/>
        <v>383759338.01999998</v>
      </c>
      <c r="U57" s="47">
        <f t="shared" si="44"/>
        <v>0</v>
      </c>
      <c r="V57" s="47">
        <f t="shared" si="44"/>
        <v>382983443.01999998</v>
      </c>
      <c r="W57" s="47">
        <f t="shared" si="44"/>
        <v>330000000</v>
      </c>
      <c r="X57" s="47">
        <f t="shared" si="44"/>
        <v>105600000</v>
      </c>
      <c r="Y57" s="47">
        <f t="shared" si="44"/>
        <v>24995642.033999998</v>
      </c>
      <c r="Z57" s="47">
        <f t="shared" si="44"/>
        <v>1249783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143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57:B57"/>
    <mergeCell ref="N58:T58"/>
    <mergeCell ref="N59:T59"/>
    <mergeCell ref="N60:T60"/>
    <mergeCell ref="A13:C13"/>
    <mergeCell ref="A11:C11"/>
    <mergeCell ref="A17:C17"/>
    <mergeCell ref="A48:C48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Z8:Z9"/>
    <mergeCell ref="V8:V9"/>
    <mergeCell ref="J8:J9"/>
    <mergeCell ref="U8:U9"/>
    <mergeCell ref="W8:W9"/>
    <mergeCell ref="X8:X9"/>
    <mergeCell ref="Y8:Y9"/>
    <mergeCell ref="T8:T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6" ySplit="19" topLeftCell="G56" activePane="bottomRight" state="frozen"/>
      <selection pane="topRight" activeCell="G1" sqref="G1"/>
      <selection pane="bottomLeft" activeCell="A20" sqref="A20"/>
      <selection pane="bottomRight" activeCell="K48" activeCellId="1" sqref="K13 K4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144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88" t="s">
        <v>15</v>
      </c>
      <c r="H9" s="88" t="s">
        <v>16</v>
      </c>
      <c r="I9" s="88" t="s">
        <v>17</v>
      </c>
      <c r="J9" s="102"/>
      <c r="K9" s="108"/>
      <c r="L9" s="87" t="s">
        <v>18</v>
      </c>
      <c r="M9" s="87" t="s">
        <v>19</v>
      </c>
      <c r="N9" s="87" t="s">
        <v>20</v>
      </c>
      <c r="O9" s="88" t="s">
        <v>21</v>
      </c>
      <c r="P9" s="87" t="s">
        <v>87</v>
      </c>
      <c r="Q9" s="87" t="s">
        <v>22</v>
      </c>
      <c r="R9" s="87" t="s">
        <v>20</v>
      </c>
      <c r="S9" s="8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165864000</v>
      </c>
      <c r="E17" s="51">
        <f t="shared" ref="E17:Z17" si="3">SUM(E18:E46)</f>
        <v>676</v>
      </c>
      <c r="F17" s="51">
        <f t="shared" si="3"/>
        <v>133148400</v>
      </c>
      <c r="G17" s="51">
        <f t="shared" si="3"/>
        <v>26969600</v>
      </c>
      <c r="H17" s="51">
        <f t="shared" si="3"/>
        <v>111737600</v>
      </c>
      <c r="I17" s="51">
        <f t="shared" si="3"/>
        <v>18980000</v>
      </c>
      <c r="J17" s="51">
        <f t="shared" si="3"/>
        <v>92113973.420499966</v>
      </c>
      <c r="K17" s="51">
        <f t="shared" si="3"/>
        <v>382949573.42050004</v>
      </c>
      <c r="L17" s="51">
        <f t="shared" si="3"/>
        <v>12809440</v>
      </c>
      <c r="M17" s="51">
        <f t="shared" si="3"/>
        <v>2487960</v>
      </c>
      <c r="N17" s="51">
        <f t="shared" si="3"/>
        <v>1601180</v>
      </c>
      <c r="O17" s="51">
        <f t="shared" si="3"/>
        <v>16898580</v>
      </c>
      <c r="P17" s="51">
        <f t="shared" si="3"/>
        <v>28020650</v>
      </c>
      <c r="Q17" s="51">
        <f t="shared" si="3"/>
        <v>4975920</v>
      </c>
      <c r="R17" s="51">
        <f t="shared" si="3"/>
        <v>1601180</v>
      </c>
      <c r="S17" s="51">
        <f t="shared" si="3"/>
        <v>34597750</v>
      </c>
      <c r="T17" s="51">
        <f t="shared" si="3"/>
        <v>364334446.42049998</v>
      </c>
      <c r="U17" s="51">
        <f t="shared" si="3"/>
        <v>0</v>
      </c>
      <c r="V17" s="51">
        <f t="shared" si="3"/>
        <v>363969573.42049998</v>
      </c>
      <c r="W17" s="51">
        <f t="shared" si="3"/>
        <v>286000000</v>
      </c>
      <c r="X17" s="51">
        <f t="shared" si="3"/>
        <v>88000000</v>
      </c>
      <c r="Y17" s="51">
        <f t="shared" si="3"/>
        <v>34330949.752499998</v>
      </c>
      <c r="Z17" s="51">
        <f t="shared" si="3"/>
        <v>1716547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3210071.9594999999</v>
      </c>
      <c r="K18" s="36">
        <f>F18+G18+H18+I18+J18</f>
        <v>13922871.9595</v>
      </c>
      <c r="L18" s="37">
        <f t="shared" ref="L18:L40" si="4">D18*8%</f>
        <v>501600</v>
      </c>
      <c r="M18" s="38">
        <f t="shared" ref="M18:M40" si="5">D18*1.5%</f>
        <v>94050</v>
      </c>
      <c r="N18" s="39">
        <f t="shared" ref="N18:N40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13187795.9595</v>
      </c>
      <c r="U18" s="42"/>
      <c r="V18" s="68">
        <f>K18-I18</f>
        <v>13192871.9595</v>
      </c>
      <c r="W18" s="69">
        <v>11000000</v>
      </c>
      <c r="X18" s="69"/>
      <c r="Y18" s="69">
        <f>MAX(V18-O18-W18-X18,0)</f>
        <v>1534521.9594999999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76726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40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2292908.5425</v>
      </c>
      <c r="K19" s="36">
        <f t="shared" ref="K19:K40" si="10">F19+G19+H19+I19+J19</f>
        <v>12480108.5425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40" si="13">D19*1%</f>
        <v>57444</v>
      </c>
      <c r="S19" s="40">
        <f t="shared" si="8"/>
        <v>1235046</v>
      </c>
      <c r="T19" s="41">
        <f t="shared" ref="T19:T55" si="14">K19-O19-Z19</f>
        <v>11876946.5425</v>
      </c>
      <c r="U19" s="42"/>
      <c r="V19" s="68">
        <f t="shared" si="1"/>
        <v>11750108.5425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2292908.5425</v>
      </c>
      <c r="K20" s="36">
        <f t="shared" si="10"/>
        <v>12480108.5425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11876946.5425</v>
      </c>
      <c r="U20" s="42"/>
      <c r="V20" s="68">
        <f t="shared" si="1"/>
        <v>11750108.5425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0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1834326.834</v>
      </c>
      <c r="K22" s="36">
        <f t="shared" si="10"/>
        <v>13393326.834000001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12789996.834000001</v>
      </c>
      <c r="U22" s="42"/>
      <c r="V22" s="68">
        <f t="shared" si="1"/>
        <v>12663326.834000001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1834326.834</v>
      </c>
      <c r="K23" s="36">
        <f t="shared" si="10"/>
        <v>13393326.834000001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12736996.834000001</v>
      </c>
      <c r="U23" s="42"/>
      <c r="V23" s="68">
        <f t="shared" si="1"/>
        <v>12663326.834000001</v>
      </c>
      <c r="W23" s="69">
        <v>11000000</v>
      </c>
      <c r="X23" s="69"/>
      <c r="Y23" s="69">
        <f t="shared" si="15"/>
        <v>1059996.8340000007</v>
      </c>
      <c r="Z23" s="69">
        <f t="shared" si="16"/>
        <v>53000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1834326.834</v>
      </c>
      <c r="K24" s="36">
        <f t="shared" si="10"/>
        <v>13393326.834000001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12736996.834000001</v>
      </c>
      <c r="U24" s="42"/>
      <c r="V24" s="68">
        <f t="shared" si="1"/>
        <v>12663326.834000001</v>
      </c>
      <c r="W24" s="69">
        <v>11000000</v>
      </c>
      <c r="X24" s="69"/>
      <c r="Y24" s="69">
        <f t="shared" si="15"/>
        <v>1059996.8340000007</v>
      </c>
      <c r="Z24" s="69">
        <f t="shared" si="16"/>
        <v>53000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2292908.5425</v>
      </c>
      <c r="K25" s="36">
        <f t="shared" si="10"/>
        <v>13012108.5425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12353086.5425</v>
      </c>
      <c r="U25" s="42"/>
      <c r="V25" s="68">
        <f t="shared" si="1"/>
        <v>12282108.5425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4592542.2494999999</v>
      </c>
      <c r="K26" s="36">
        <f t="shared" si="10"/>
        <v>16151542.249499999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15357301.249499999</v>
      </c>
      <c r="U26" s="42"/>
      <c r="V26" s="68">
        <f t="shared" si="1"/>
        <v>15421542.249499999</v>
      </c>
      <c r="W26" s="69">
        <v>11000000</v>
      </c>
      <c r="X26" s="69"/>
      <c r="Y26" s="69">
        <f t="shared" si="15"/>
        <v>3818212.249499999</v>
      </c>
      <c r="Z26" s="69">
        <f t="shared" si="16"/>
        <v>190911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1834326.834</v>
      </c>
      <c r="K27" s="36">
        <f t="shared" si="10"/>
        <v>13393326.834000001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12736996.834000001</v>
      </c>
      <c r="U27" s="42"/>
      <c r="V27" s="68">
        <f t="shared" si="1"/>
        <v>12663326.834000001</v>
      </c>
      <c r="W27" s="69">
        <v>11000000</v>
      </c>
      <c r="X27" s="69"/>
      <c r="Y27" s="69">
        <f t="shared" si="15"/>
        <v>1059996.8340000007</v>
      </c>
      <c r="Z27" s="69">
        <f t="shared" si="16"/>
        <v>53000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4592542.2494999999</v>
      </c>
      <c r="K28" s="36">
        <f t="shared" si="10"/>
        <v>16151542.249499999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15548212.249499999</v>
      </c>
      <c r="U28" s="42"/>
      <c r="V28" s="68">
        <f t="shared" si="1"/>
        <v>15421542.249499999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6123389.6660000002</v>
      </c>
      <c r="K29" s="36">
        <f t="shared" si="10"/>
        <v>16842589.666000001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16183567.666000001</v>
      </c>
      <c r="U29" s="42"/>
      <c r="V29" s="68">
        <f t="shared" si="1"/>
        <v>16112589.666000001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6123389.6660000002</v>
      </c>
      <c r="K30" s="36">
        <f t="shared" si="10"/>
        <v>16842589.666000001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16180889.666000001</v>
      </c>
      <c r="U30" s="42"/>
      <c r="V30" s="68">
        <f t="shared" si="1"/>
        <v>16112589.666000001</v>
      </c>
      <c r="W30" s="69">
        <v>11000000</v>
      </c>
      <c r="X30" s="69">
        <f>4400000</f>
        <v>4400000</v>
      </c>
      <c r="Y30" s="69">
        <f t="shared" si="15"/>
        <v>53567.666000001132</v>
      </c>
      <c r="Z30" s="69">
        <f t="shared" si="16"/>
        <v>2678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4592542.2494999999</v>
      </c>
      <c r="K31" s="36">
        <f t="shared" si="10"/>
        <v>16151542.249499999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15548212.249499999</v>
      </c>
      <c r="U31" s="42"/>
      <c r="V31" s="68">
        <f t="shared" si="1"/>
        <v>15421542.249499999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>
        <v>5746000</v>
      </c>
      <c r="E32" s="33"/>
      <c r="F32" s="34"/>
      <c r="G32" s="34"/>
      <c r="H32" s="89"/>
      <c r="I32" s="89"/>
      <c r="J32" s="89"/>
      <c r="K32" s="90"/>
      <c r="L32" s="91"/>
      <c r="M32" s="38">
        <f t="shared" si="5"/>
        <v>86190</v>
      </c>
      <c r="N32" s="93"/>
      <c r="O32" s="40">
        <f t="shared" si="7"/>
        <v>86190</v>
      </c>
      <c r="P32" s="92"/>
      <c r="Q32" s="38">
        <f t="shared" si="12"/>
        <v>172380</v>
      </c>
      <c r="R32" s="92"/>
      <c r="S32" s="40">
        <f t="shared" si="8"/>
        <v>172380</v>
      </c>
      <c r="T32" s="41">
        <f t="shared" si="14"/>
        <v>-86190</v>
      </c>
      <c r="U32" s="94"/>
      <c r="V32" s="68">
        <f t="shared" si="1"/>
        <v>0</v>
      </c>
      <c r="W32" s="95"/>
      <c r="X32" s="95"/>
      <c r="Y32" s="95">
        <f t="shared" si="15"/>
        <v>0</v>
      </c>
      <c r="Z32" s="95">
        <f t="shared" si="16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1834326.834</v>
      </c>
      <c r="K33" s="36">
        <f t="shared" si="10"/>
        <v>13393326.834000001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12736996.834000001</v>
      </c>
      <c r="U33" s="42"/>
      <c r="V33" s="68">
        <f t="shared" si="1"/>
        <v>12663326.834000001</v>
      </c>
      <c r="W33" s="69">
        <v>11000000</v>
      </c>
      <c r="X33" s="69"/>
      <c r="Y33" s="69">
        <f t="shared" si="15"/>
        <v>1059996.8340000007</v>
      </c>
      <c r="Z33" s="69">
        <f t="shared" si="16"/>
        <v>53000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9185084.4989999998</v>
      </c>
      <c r="K34" s="36">
        <f t="shared" si="10"/>
        <v>21695684.498999998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20862488.498999998</v>
      </c>
      <c r="U34" s="42"/>
      <c r="V34" s="68">
        <f t="shared" si="1"/>
        <v>20965684.498999998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2292908.5425</v>
      </c>
      <c r="K35" s="36">
        <f t="shared" si="10"/>
        <v>13324108.5425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12587210.5425</v>
      </c>
      <c r="U35" s="42"/>
      <c r="V35" s="68">
        <f t="shared" si="1"/>
        <v>12594108.5425</v>
      </c>
      <c r="W35" s="69">
        <v>11000000</v>
      </c>
      <c r="X35" s="69"/>
      <c r="Y35" s="69">
        <f t="shared" si="15"/>
        <v>902326.54250000045</v>
      </c>
      <c r="Z35" s="69">
        <f t="shared" si="16"/>
        <v>45116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2292908.5425</v>
      </c>
      <c r="K36" s="36">
        <f t="shared" si="10"/>
        <v>13324108.5425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12632326.5425</v>
      </c>
      <c r="U36" s="42"/>
      <c r="V36" s="68">
        <f t="shared" si="1"/>
        <v>12594108.5425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2292908.5425</v>
      </c>
      <c r="K38" s="36">
        <f t="shared" si="10"/>
        <v>13324108.5425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12587210.5425</v>
      </c>
      <c r="U38" s="42"/>
      <c r="V38" s="68">
        <f t="shared" si="1"/>
        <v>12594108.5425</v>
      </c>
      <c r="W38" s="69">
        <v>11000000</v>
      </c>
      <c r="X38" s="69"/>
      <c r="Y38" s="69">
        <f t="shared" si="15"/>
        <v>902326.54250000045</v>
      </c>
      <c r="Z38" s="69">
        <f t="shared" si="16"/>
        <v>45116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2292908.5425</v>
      </c>
      <c r="K39" s="36">
        <f t="shared" si="10"/>
        <v>13324108.5425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12587210.5425</v>
      </c>
      <c r="U39" s="42"/>
      <c r="V39" s="68">
        <f t="shared" si="1"/>
        <v>12594108.5425</v>
      </c>
      <c r="W39" s="69">
        <v>11000000</v>
      </c>
      <c r="X39" s="69"/>
      <c r="Y39" s="69">
        <f t="shared" si="15"/>
        <v>902326.54250000045</v>
      </c>
      <c r="Z39" s="69">
        <f t="shared" si="16"/>
        <v>45116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>
        <f t="shared" si="9"/>
        <v>5746000</v>
      </c>
      <c r="E40" s="33">
        <v>26</v>
      </c>
      <c r="F40" s="34">
        <v>4773600</v>
      </c>
      <c r="G40" s="34">
        <v>972400</v>
      </c>
      <c r="H40" s="35">
        <v>5083000</v>
      </c>
      <c r="I40" s="35">
        <v>730000</v>
      </c>
      <c r="J40" s="35">
        <v>4592542.2494999999</v>
      </c>
      <c r="K40" s="36">
        <f t="shared" si="10"/>
        <v>16151542.249499999</v>
      </c>
      <c r="L40" s="37">
        <f t="shared" si="4"/>
        <v>459680</v>
      </c>
      <c r="M40" s="38">
        <f t="shared" si="5"/>
        <v>86190</v>
      </c>
      <c r="N40" s="39">
        <f t="shared" si="6"/>
        <v>57460</v>
      </c>
      <c r="O40" s="40">
        <f t="shared" ref="O40" si="17">L40+M40+N40</f>
        <v>603330</v>
      </c>
      <c r="P40" s="38">
        <f t="shared" ref="P40" si="18">D40*17.5%</f>
        <v>1005549.9999999999</v>
      </c>
      <c r="Q40" s="38">
        <f t="shared" si="12"/>
        <v>172380</v>
      </c>
      <c r="R40" s="38">
        <f t="shared" si="13"/>
        <v>57460</v>
      </c>
      <c r="S40" s="40">
        <f t="shared" si="8"/>
        <v>1235390</v>
      </c>
      <c r="T40" s="41">
        <f t="shared" si="14"/>
        <v>15357301.249499999</v>
      </c>
      <c r="U40" s="42"/>
      <c r="V40" s="68">
        <f t="shared" si="1"/>
        <v>15421542.249499999</v>
      </c>
      <c r="W40" s="69">
        <v>11000000</v>
      </c>
      <c r="X40" s="69"/>
      <c r="Y40" s="69">
        <f t="shared" si="15"/>
        <v>3818212.249499999</v>
      </c>
      <c r="Z40" s="69">
        <f t="shared" si="16"/>
        <v>190911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" si="19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4592542.2494999999</v>
      </c>
      <c r="K42" s="36">
        <f t="shared" ref="K42" si="20">F42+G42+H42+I42+J42</f>
        <v>16151542.249499999</v>
      </c>
      <c r="L42" s="37">
        <f t="shared" ref="L42" si="21">D42*8%</f>
        <v>459680</v>
      </c>
      <c r="M42" s="38">
        <f t="shared" ref="M42" si="22">D42*1.5%</f>
        <v>86190</v>
      </c>
      <c r="N42" s="39">
        <f t="shared" ref="N42" si="23">D42*1%</f>
        <v>57460</v>
      </c>
      <c r="O42" s="40">
        <f t="shared" ref="O42" si="24">L42+M42+N42</f>
        <v>603330</v>
      </c>
      <c r="P42" s="38">
        <f t="shared" ref="P42" si="25">D42*17.5%</f>
        <v>1005549.9999999999</v>
      </c>
      <c r="Q42" s="38">
        <f t="shared" ref="Q42" si="26">D42*3%</f>
        <v>172380</v>
      </c>
      <c r="R42" s="38">
        <f t="shared" ref="R42" si="27">D42*1%</f>
        <v>57460</v>
      </c>
      <c r="S42" s="40">
        <f t="shared" ref="S42" si="28">P42+Q42+R42</f>
        <v>1235390</v>
      </c>
      <c r="T42" s="41">
        <f t="shared" ref="T42" si="29">K42-O42-Z42</f>
        <v>15357301.249499999</v>
      </c>
      <c r="U42" s="42"/>
      <c r="V42" s="68">
        <f t="shared" ref="V42" si="30">K42-I42</f>
        <v>15421542.249499999</v>
      </c>
      <c r="W42" s="69">
        <v>11000000</v>
      </c>
      <c r="X42" s="69"/>
      <c r="Y42" s="69">
        <f t="shared" ref="Y42" si="31">MAX(V42-O42-W42-X42,0)</f>
        <v>3818212.249499999</v>
      </c>
      <c r="Z42" s="69">
        <f t="shared" ref="Z42" si="32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190911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ref="D43" si="33">F43+G43</f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6123389.6660000002</v>
      </c>
      <c r="K43" s="36">
        <f t="shared" ref="K43" si="34">F43+G43+H43+I43+J43</f>
        <v>17154589.666000001</v>
      </c>
      <c r="L43" s="37">
        <f t="shared" ref="L43" si="35">D43*8%</f>
        <v>527072</v>
      </c>
      <c r="M43" s="38">
        <f t="shared" ref="M43" si="36">D43*1.5%</f>
        <v>98826</v>
      </c>
      <c r="N43" s="39">
        <f t="shared" ref="N43" si="37">D43*1%</f>
        <v>65884</v>
      </c>
      <c r="O43" s="40">
        <f>L43+M43+N43</f>
        <v>691782</v>
      </c>
      <c r="P43" s="38">
        <f>D43*17.5%</f>
        <v>1152970</v>
      </c>
      <c r="Q43" s="38">
        <f t="shared" ref="Q43" si="38">D43*3%</f>
        <v>197652</v>
      </c>
      <c r="R43" s="38">
        <f t="shared" ref="R43" si="39">D43*1%</f>
        <v>65884</v>
      </c>
      <c r="S43" s="40">
        <f t="shared" ref="S43" si="40">P43+Q43+R43</f>
        <v>1416506</v>
      </c>
      <c r="T43" s="41">
        <f t="shared" ref="T43" si="41">K43-O43-Z43</f>
        <v>16226167.666000001</v>
      </c>
      <c r="U43" s="42"/>
      <c r="V43" s="68">
        <f t="shared" ref="V43" si="42">K43-I43</f>
        <v>16424589.666000001</v>
      </c>
      <c r="W43" s="69">
        <v>11000000</v>
      </c>
      <c r="X43" s="69"/>
      <c r="Y43" s="69">
        <f t="shared" ref="Y43" si="43">MAX(V43-O43-W43-X43,0)</f>
        <v>4732807.6660000011</v>
      </c>
      <c r="Z43" s="69">
        <f t="shared" ref="Z43" si="44">ROUND(IF(Y43&gt;80000000,((Y43-80000000)*0.35+18150000),IF(AND(Y43&gt;52000000,Y43&lt;=80000000),((Y43-52000000)*0.3+9750000),IF(AND(Y43&gt;32000000,Y43&lt;=52000000),((Y43-32000000)*0.25+4750000),IF(AND(Y43&gt;18000000,Y43&lt;=32000000),((Y43-18000000)*0.2+1950000),IF(AND(Y43&gt;10000000,Y43&lt;=18000000),((Y43-10000000)*0.15+750000),IF(AND(Y43&gt;5000000,Y43&lt;=10000000),((Y43-5000000)*0.1+250000),(Y43*0.05))))))),0)</f>
        <v>236640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ref="D44" si="45">F44+G44</f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6123389.6660000002</v>
      </c>
      <c r="K44" s="36">
        <f t="shared" ref="K44" si="46">F44+G44+H44+I44+J44</f>
        <v>17154589.666000001</v>
      </c>
      <c r="L44" s="37">
        <f t="shared" ref="L44" si="47">D44*8%</f>
        <v>527072</v>
      </c>
      <c r="M44" s="38">
        <f t="shared" ref="M44" si="48">D44*1.5%</f>
        <v>98826</v>
      </c>
      <c r="N44" s="39">
        <f t="shared" ref="N44" si="49">D44*1%</f>
        <v>65884</v>
      </c>
      <c r="O44" s="40">
        <f>L44+M44+N44</f>
        <v>691782</v>
      </c>
      <c r="P44" s="38">
        <f>D44*17.5%</f>
        <v>1152970</v>
      </c>
      <c r="Q44" s="38">
        <f t="shared" ref="Q44" si="50">D44*3%</f>
        <v>197652</v>
      </c>
      <c r="R44" s="38">
        <f t="shared" ref="R44" si="51">D44*1%</f>
        <v>65884</v>
      </c>
      <c r="S44" s="40">
        <f t="shared" ref="S44" si="52">P44+Q44+R44</f>
        <v>1416506</v>
      </c>
      <c r="T44" s="41">
        <f t="shared" ref="T44" si="53">K44-O44-Z44</f>
        <v>16226167.666000001</v>
      </c>
      <c r="U44" s="42"/>
      <c r="V44" s="68">
        <f t="shared" ref="V44" si="54">K44-I44</f>
        <v>16424589.666000001</v>
      </c>
      <c r="W44" s="69">
        <v>11000000</v>
      </c>
      <c r="X44" s="69"/>
      <c r="Y44" s="69">
        <f t="shared" ref="Y44" si="55">MAX(V44-O44-W44-X44,0)</f>
        <v>4732807.6660000011</v>
      </c>
      <c r="Z44" s="69">
        <f t="shared" ref="Z44" si="56">ROUND(IF(Y44&gt;80000000,((Y44-80000000)*0.35+18150000),IF(AND(Y44&gt;52000000,Y44&lt;=80000000),((Y44-52000000)*0.3+9750000),IF(AND(Y44&gt;32000000,Y44&lt;=52000000),((Y44-32000000)*0.25+4750000),IF(AND(Y44&gt;18000000,Y44&lt;=32000000),((Y44-18000000)*0.2+1950000),IF(AND(Y44&gt;10000000,Y44&lt;=18000000),((Y44-10000000)*0.15+750000),IF(AND(Y44&gt;5000000,Y44&lt;=10000000),((Y44-5000000)*0.1+250000),(Y44*0.05))))))),0)</f>
        <v>236640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ref="D45:D46" si="57">F45+G45</f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6123389.6660000002</v>
      </c>
      <c r="K45" s="36">
        <f t="shared" ref="K45:K46" si="58">F45+G45+H45+I45+J45</f>
        <v>17154589.666000001</v>
      </c>
      <c r="L45" s="37">
        <f t="shared" ref="L45:L46" si="59">D45*8%</f>
        <v>527072</v>
      </c>
      <c r="M45" s="38">
        <f t="shared" ref="M45:M46" si="60">D45*1.5%</f>
        <v>98826</v>
      </c>
      <c r="N45" s="39">
        <f t="shared" ref="N45:N46" si="61">D45*1%</f>
        <v>65884</v>
      </c>
      <c r="O45" s="40">
        <f>L45+M45+N45</f>
        <v>691782</v>
      </c>
      <c r="P45" s="38">
        <f>D45*17.5%</f>
        <v>1152970</v>
      </c>
      <c r="Q45" s="38">
        <f t="shared" ref="Q45:Q46" si="62">D45*3%</f>
        <v>197652</v>
      </c>
      <c r="R45" s="38">
        <f t="shared" ref="R45:R46" si="63">D45*1%</f>
        <v>65884</v>
      </c>
      <c r="S45" s="40">
        <f t="shared" ref="S45:S46" si="64">P45+Q45+R45</f>
        <v>1416506</v>
      </c>
      <c r="T45" s="41">
        <f t="shared" ref="T45:T46" si="65">K45-O45-Z45</f>
        <v>16226167.666000001</v>
      </c>
      <c r="U45" s="42"/>
      <c r="V45" s="68">
        <f t="shared" ref="V45:V46" si="66">K45-I45</f>
        <v>16424589.666000001</v>
      </c>
      <c r="W45" s="69">
        <v>11000000</v>
      </c>
      <c r="X45" s="69"/>
      <c r="Y45" s="69">
        <f t="shared" ref="Y45:Y46" si="67">MAX(V45-O45-W45-X45,0)</f>
        <v>4732807.6660000011</v>
      </c>
      <c r="Z45" s="69">
        <f t="shared" ref="Z45:Z46" si="68">ROUND(IF(Y45&gt;80000000,((Y45-80000000)*0.35+18150000),IF(AND(Y45&gt;52000000,Y45&lt;=80000000),((Y45-52000000)*0.3+9750000),IF(AND(Y45&gt;32000000,Y45&lt;=52000000),((Y45-32000000)*0.25+4750000),IF(AND(Y45&gt;18000000,Y45&lt;=32000000),((Y45-18000000)*0.2+1950000),IF(AND(Y45&gt;10000000,Y45&lt;=18000000),((Y45-10000000)*0.15+750000),IF(AND(Y45&gt;5000000,Y45&lt;=10000000),((Y45-5000000)*0.1+250000),(Y45*0.05))))))),0)</f>
        <v>236640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57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917163.41700000002</v>
      </c>
      <c r="K46" s="36">
        <f t="shared" si="58"/>
        <v>12476163.416999999</v>
      </c>
      <c r="L46" s="37">
        <f t="shared" si="59"/>
        <v>459680</v>
      </c>
      <c r="M46" s="38">
        <f t="shared" si="60"/>
        <v>86190</v>
      </c>
      <c r="N46" s="39">
        <f t="shared" si="61"/>
        <v>57460</v>
      </c>
      <c r="O46" s="40">
        <f t="shared" ref="O46" si="69">L46+M46+N46</f>
        <v>603330</v>
      </c>
      <c r="P46" s="38">
        <f t="shared" ref="P46" si="70">D46*17.5%</f>
        <v>1005549.9999999999</v>
      </c>
      <c r="Q46" s="38">
        <f t="shared" si="62"/>
        <v>172380</v>
      </c>
      <c r="R46" s="38">
        <f t="shared" si="63"/>
        <v>57460</v>
      </c>
      <c r="S46" s="40">
        <f t="shared" si="64"/>
        <v>1235390</v>
      </c>
      <c r="T46" s="41">
        <f t="shared" si="65"/>
        <v>11865691.416999999</v>
      </c>
      <c r="U46" s="42"/>
      <c r="V46" s="68">
        <f t="shared" si="66"/>
        <v>11746163.416999999</v>
      </c>
      <c r="W46" s="69">
        <v>11000000</v>
      </c>
      <c r="X46" s="69"/>
      <c r="Y46" s="69">
        <f t="shared" si="67"/>
        <v>142833.41699999943</v>
      </c>
      <c r="Z46" s="69">
        <f t="shared" si="68"/>
        <v>7142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35266000</v>
      </c>
      <c r="E48" s="51">
        <f t="shared" ref="E48:Z48" si="71">SUM(E49:E55)</f>
        <v>156</v>
      </c>
      <c r="F48" s="51">
        <f t="shared" si="71"/>
        <v>29338200</v>
      </c>
      <c r="G48" s="51">
        <f t="shared" si="71"/>
        <v>5927800</v>
      </c>
      <c r="H48" s="51">
        <f t="shared" si="71"/>
        <v>22674600</v>
      </c>
      <c r="I48" s="51">
        <f t="shared" si="71"/>
        <v>4380000</v>
      </c>
      <c r="J48" s="51">
        <f t="shared" si="71"/>
        <v>0</v>
      </c>
      <c r="K48" s="51">
        <f t="shared" si="71"/>
        <v>62320600</v>
      </c>
      <c r="L48" s="51">
        <f t="shared" si="71"/>
        <v>2821280</v>
      </c>
      <c r="M48" s="51">
        <f t="shared" si="71"/>
        <v>528990</v>
      </c>
      <c r="N48" s="51">
        <f t="shared" si="71"/>
        <v>352660</v>
      </c>
      <c r="O48" s="51">
        <f t="shared" si="71"/>
        <v>3702930</v>
      </c>
      <c r="P48" s="51">
        <f t="shared" si="71"/>
        <v>6171550</v>
      </c>
      <c r="Q48" s="51">
        <f t="shared" si="71"/>
        <v>1057980</v>
      </c>
      <c r="R48" s="51">
        <f t="shared" si="71"/>
        <v>352660</v>
      </c>
      <c r="S48" s="51">
        <f t="shared" si="71"/>
        <v>7582190</v>
      </c>
      <c r="T48" s="51">
        <f t="shared" si="71"/>
        <v>58617670</v>
      </c>
      <c r="U48" s="51">
        <f t="shared" si="71"/>
        <v>0</v>
      </c>
      <c r="V48" s="51">
        <f t="shared" si="71"/>
        <v>57940600</v>
      </c>
      <c r="W48" s="51">
        <f t="shared" si="71"/>
        <v>66000000</v>
      </c>
      <c r="X48" s="51">
        <f t="shared" si="71"/>
        <v>4400000</v>
      </c>
      <c r="Y48" s="51">
        <f t="shared" si="71"/>
        <v>0</v>
      </c>
      <c r="Z48" s="51">
        <f t="shared" si="71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72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73">D49*8%</f>
        <v>443632</v>
      </c>
      <c r="M49" s="38">
        <f t="shared" ref="M49:M54" si="74">D49*1.5%</f>
        <v>83181</v>
      </c>
      <c r="N49" s="39">
        <f t="shared" ref="N49:N54" si="75">D49*1%</f>
        <v>55454</v>
      </c>
      <c r="O49" s="40">
        <f t="shared" ref="O49:O54" si="76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77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31</v>
      </c>
      <c r="B50" s="30" t="s">
        <v>79</v>
      </c>
      <c r="C50" s="31" t="s">
        <v>40</v>
      </c>
      <c r="D50" s="43">
        <f t="shared" si="72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78">F50+G50+H50+I50+J50</f>
        <v>10542400</v>
      </c>
      <c r="L50" s="37">
        <f t="shared" si="73"/>
        <v>484432</v>
      </c>
      <c r="M50" s="38">
        <f t="shared" si="74"/>
        <v>90831</v>
      </c>
      <c r="N50" s="39">
        <f t="shared" si="75"/>
        <v>60554</v>
      </c>
      <c r="O50" s="40">
        <f t="shared" si="76"/>
        <v>635817</v>
      </c>
      <c r="P50" s="38">
        <f t="shared" ref="P50:P52" si="79">D50*17.5%</f>
        <v>1059695</v>
      </c>
      <c r="Q50" s="38">
        <f t="shared" ref="Q50:Q54" si="80">D50*3%</f>
        <v>181662</v>
      </c>
      <c r="R50" s="38">
        <f t="shared" ref="R50:R54" si="81">D50*1%</f>
        <v>60554</v>
      </c>
      <c r="S50" s="40">
        <f t="shared" si="77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32</v>
      </c>
      <c r="B52" s="30" t="s">
        <v>105</v>
      </c>
      <c r="C52" s="31" t="s">
        <v>40</v>
      </c>
      <c r="D52" s="43">
        <f t="shared" si="72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78"/>
        <v>10828400</v>
      </c>
      <c r="L52" s="37">
        <f t="shared" si="73"/>
        <v>503776</v>
      </c>
      <c r="M52" s="38">
        <f t="shared" si="74"/>
        <v>94458</v>
      </c>
      <c r="N52" s="39">
        <f t="shared" si="75"/>
        <v>62972</v>
      </c>
      <c r="O52" s="40">
        <f t="shared" si="76"/>
        <v>661206</v>
      </c>
      <c r="P52" s="38">
        <f t="shared" si="79"/>
        <v>1102010</v>
      </c>
      <c r="Q52" s="38">
        <f t="shared" si="80"/>
        <v>188916</v>
      </c>
      <c r="R52" s="38">
        <f t="shared" si="81"/>
        <v>62972</v>
      </c>
      <c r="S52" s="40">
        <f t="shared" si="77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72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78"/>
        <v>10828400</v>
      </c>
      <c r="L53" s="37">
        <f t="shared" si="73"/>
        <v>503776</v>
      </c>
      <c r="M53" s="38">
        <f t="shared" si="74"/>
        <v>94458</v>
      </c>
      <c r="N53" s="39">
        <f t="shared" si="75"/>
        <v>62972</v>
      </c>
      <c r="O53" s="40">
        <f t="shared" si="76"/>
        <v>661206</v>
      </c>
      <c r="P53" s="38">
        <f>D53*17.5%</f>
        <v>1102010</v>
      </c>
      <c r="Q53" s="38">
        <f t="shared" si="80"/>
        <v>188916</v>
      </c>
      <c r="R53" s="38">
        <f t="shared" si="81"/>
        <v>62972</v>
      </c>
      <c r="S53" s="40">
        <f t="shared" si="77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72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78"/>
        <v>10828400</v>
      </c>
      <c r="L54" s="37">
        <f t="shared" si="73"/>
        <v>503776</v>
      </c>
      <c r="M54" s="38">
        <f t="shared" si="74"/>
        <v>94458</v>
      </c>
      <c r="N54" s="39">
        <f t="shared" si="75"/>
        <v>62972</v>
      </c>
      <c r="O54" s="40">
        <f t="shared" si="76"/>
        <v>661206</v>
      </c>
      <c r="P54" s="38">
        <f>D54*17.5%</f>
        <v>1102010</v>
      </c>
      <c r="Q54" s="38">
        <f t="shared" si="80"/>
        <v>188916</v>
      </c>
      <c r="R54" s="38">
        <f t="shared" si="81"/>
        <v>62972</v>
      </c>
      <c r="S54" s="40">
        <f t="shared" si="77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/>
      <c r="C56" s="31"/>
      <c r="D56" s="43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/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82">D11+D13+D17+D48</f>
        <v>226365200</v>
      </c>
      <c r="E57" s="47">
        <f t="shared" si="82"/>
        <v>884</v>
      </c>
      <c r="F57" s="47">
        <f t="shared" si="82"/>
        <v>183078600</v>
      </c>
      <c r="G57" s="47">
        <f t="shared" si="82"/>
        <v>37540600</v>
      </c>
      <c r="H57" s="47">
        <f t="shared" si="82"/>
        <v>138346000</v>
      </c>
      <c r="I57" s="47">
        <f t="shared" si="82"/>
        <v>24090000</v>
      </c>
      <c r="J57" s="47">
        <f t="shared" si="82"/>
        <v>92113973.420499966</v>
      </c>
      <c r="K57" s="47">
        <f t="shared" si="82"/>
        <v>462003973.42050004</v>
      </c>
      <c r="L57" s="47">
        <f t="shared" si="82"/>
        <v>17649536</v>
      </c>
      <c r="M57" s="47">
        <f t="shared" si="82"/>
        <v>3395478</v>
      </c>
      <c r="N57" s="47">
        <f t="shared" si="82"/>
        <v>2206192</v>
      </c>
      <c r="O57" s="47">
        <f t="shared" si="82"/>
        <v>23251206</v>
      </c>
      <c r="P57" s="47">
        <f t="shared" si="82"/>
        <v>38608360</v>
      </c>
      <c r="Q57" s="47">
        <f t="shared" si="82"/>
        <v>6790956</v>
      </c>
      <c r="R57" s="47">
        <f t="shared" si="82"/>
        <v>2206192</v>
      </c>
      <c r="S57" s="47">
        <f t="shared" si="82"/>
        <v>47605508</v>
      </c>
      <c r="T57" s="47">
        <f t="shared" si="82"/>
        <v>438231743.42049998</v>
      </c>
      <c r="U57" s="47">
        <f t="shared" si="82"/>
        <v>0</v>
      </c>
      <c r="V57" s="47">
        <f t="shared" si="82"/>
        <v>437913973.42049998</v>
      </c>
      <c r="W57" s="47">
        <f t="shared" si="82"/>
        <v>363000000</v>
      </c>
      <c r="X57" s="47">
        <f t="shared" si="82"/>
        <v>92400000</v>
      </c>
      <c r="Y57" s="47">
        <f t="shared" si="82"/>
        <v>38067399.752499998</v>
      </c>
      <c r="Z57" s="47">
        <f t="shared" si="82"/>
        <v>1903370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N58:T58"/>
    <mergeCell ref="N59:T59"/>
    <mergeCell ref="N60:T60"/>
    <mergeCell ref="A11:C11"/>
    <mergeCell ref="A13:C13"/>
    <mergeCell ref="A17:C17"/>
    <mergeCell ref="A48:C48"/>
    <mergeCell ref="A57:B57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U8:U9"/>
    <mergeCell ref="T8:T9"/>
    <mergeCell ref="V8:V9"/>
    <mergeCell ref="W8:W9"/>
    <mergeCell ref="X8:X9"/>
    <mergeCell ref="Y8:Y9"/>
    <mergeCell ref="Z8:Z9"/>
  </mergeCells>
  <hyperlinks>
    <hyperlink ref="B12" r:id="rId1" display="javascript:submitform('8460891335')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E45" sqref="E45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98" t="s">
        <v>15</v>
      </c>
      <c r="H9" s="98" t="s">
        <v>16</v>
      </c>
      <c r="I9" s="98" t="s">
        <v>17</v>
      </c>
      <c r="J9" s="102"/>
      <c r="K9" s="108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15279627</v>
      </c>
      <c r="U13" s="51">
        <f t="shared" si="2"/>
        <v>0</v>
      </c>
      <c r="V13" s="51">
        <f>SUM(V14:V14)</f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62"/>
      <c r="B15" s="63"/>
      <c r="C15" s="45"/>
      <c r="D15" s="32"/>
      <c r="E15" s="33"/>
      <c r="F15" s="34"/>
      <c r="G15" s="34"/>
      <c r="H15" s="35"/>
      <c r="I15" s="35"/>
      <c r="J15" s="35"/>
      <c r="K15" s="36"/>
      <c r="L15" s="37"/>
      <c r="M15" s="38"/>
      <c r="N15" s="39"/>
      <c r="O15" s="40"/>
      <c r="P15" s="38"/>
      <c r="Q15" s="38"/>
      <c r="R15" s="38"/>
      <c r="S15" s="40"/>
      <c r="T15" s="41"/>
      <c r="U15" s="42"/>
      <c r="V15" s="68"/>
      <c r="W15" s="69"/>
      <c r="X15" s="69"/>
      <c r="Y15" s="69"/>
      <c r="Z15" s="69"/>
    </row>
    <row r="16" spans="1:26" s="26" customFormat="1" ht="21.75" customHeight="1" x14ac:dyDescent="0.25">
      <c r="A16" s="62"/>
      <c r="B16" s="63"/>
      <c r="C16" s="45"/>
      <c r="D16" s="32"/>
      <c r="E16" s="33"/>
      <c r="F16" s="34"/>
      <c r="G16" s="34"/>
      <c r="H16" s="35"/>
      <c r="I16" s="35"/>
      <c r="J16" s="35"/>
      <c r="K16" s="36"/>
      <c r="L16" s="37"/>
      <c r="M16" s="38"/>
      <c r="N16" s="39"/>
      <c r="O16" s="40"/>
      <c r="P16" s="38"/>
      <c r="Q16" s="38"/>
      <c r="R16" s="38"/>
      <c r="S16" s="40"/>
      <c r="T16" s="41"/>
      <c r="U16" s="42"/>
      <c r="V16" s="68"/>
      <c r="W16" s="69"/>
      <c r="X16" s="69"/>
      <c r="Y16" s="69"/>
      <c r="Z16" s="69"/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160118000</v>
      </c>
      <c r="E17" s="51">
        <f t="shared" ref="E17:Z17" si="3">SUM(E18:E46)</f>
        <v>650</v>
      </c>
      <c r="F17" s="51">
        <f t="shared" si="3"/>
        <v>128374800</v>
      </c>
      <c r="G17" s="51">
        <f t="shared" si="3"/>
        <v>25997200</v>
      </c>
      <c r="H17" s="51">
        <f t="shared" si="3"/>
        <v>106654600</v>
      </c>
      <c r="I17" s="51">
        <f t="shared" si="3"/>
        <v>18250000</v>
      </c>
      <c r="J17" s="51">
        <f>SUM(J18:J46)</f>
        <v>90192429.665150017</v>
      </c>
      <c r="K17" s="51">
        <f t="shared" si="3"/>
        <v>369469029.66514987</v>
      </c>
      <c r="L17" s="51">
        <f t="shared" si="3"/>
        <v>12349760</v>
      </c>
      <c r="M17" s="51">
        <f t="shared" si="3"/>
        <v>2401770</v>
      </c>
      <c r="N17" s="51">
        <f t="shared" si="3"/>
        <v>1543720</v>
      </c>
      <c r="O17" s="51">
        <f t="shared" si="3"/>
        <v>16295250</v>
      </c>
      <c r="P17" s="51">
        <f t="shared" si="3"/>
        <v>27015100</v>
      </c>
      <c r="Q17" s="51">
        <f t="shared" si="3"/>
        <v>4803540</v>
      </c>
      <c r="R17" s="51">
        <f t="shared" si="3"/>
        <v>1543720</v>
      </c>
      <c r="S17" s="51">
        <f t="shared" si="3"/>
        <v>33362360</v>
      </c>
      <c r="T17" s="51">
        <f t="shared" si="3"/>
        <v>351413559.66514987</v>
      </c>
      <c r="U17" s="51">
        <f t="shared" si="3"/>
        <v>0</v>
      </c>
      <c r="V17" s="51">
        <f>SUM(V18:V46)</f>
        <v>351219029.66514987</v>
      </c>
      <c r="W17" s="51">
        <f t="shared" si="3"/>
        <v>275000000</v>
      </c>
      <c r="X17" s="51">
        <f t="shared" si="3"/>
        <v>88000000</v>
      </c>
      <c r="Y17" s="51">
        <f t="shared" si="3"/>
        <v>35204385.681350015</v>
      </c>
      <c r="Z17" s="51">
        <f t="shared" si="3"/>
        <v>1760220</v>
      </c>
    </row>
    <row r="18" spans="1:26" s="26" customFormat="1" ht="21.75" customHeight="1" x14ac:dyDescent="0.25">
      <c r="A18" s="29">
        <v>3</v>
      </c>
      <c r="B18" s="30" t="s">
        <v>34</v>
      </c>
      <c r="C18" s="31" t="s">
        <v>29</v>
      </c>
      <c r="D18" s="32">
        <f>F18+G18</f>
        <v>6270000</v>
      </c>
      <c r="E18" s="33">
        <v>26</v>
      </c>
      <c r="F18" s="34">
        <v>5016000</v>
      </c>
      <c r="G18" s="34">
        <v>1254000</v>
      </c>
      <c r="H18" s="35">
        <v>3712800</v>
      </c>
      <c r="I18" s="35">
        <v>730000</v>
      </c>
      <c r="J18" s="35">
        <v>4308727.1977750007</v>
      </c>
      <c r="K18" s="36">
        <f>F18+G18+H18+I18+J18</f>
        <v>15021527.197775001</v>
      </c>
      <c r="L18" s="37">
        <f t="shared" ref="L18:L39" si="4">D18*8%</f>
        <v>501600</v>
      </c>
      <c r="M18" s="38">
        <f t="shared" ref="M18:M40" si="5">D18*1.5%</f>
        <v>94050</v>
      </c>
      <c r="N18" s="39">
        <f t="shared" ref="N18:N39" si="6">D18*1%</f>
        <v>62700</v>
      </c>
      <c r="O18" s="40">
        <f t="shared" ref="O18:O34" si="7">L18+M18+N18</f>
        <v>658350</v>
      </c>
      <c r="P18" s="38">
        <f>D18*17.5%</f>
        <v>1097250</v>
      </c>
      <c r="Q18" s="38">
        <f>D18*3%</f>
        <v>188100</v>
      </c>
      <c r="R18" s="38">
        <f>D18*1%</f>
        <v>62700</v>
      </c>
      <c r="S18" s="40">
        <f t="shared" ref="S18:S40" si="8">P18+Q18+R18</f>
        <v>1348050</v>
      </c>
      <c r="T18" s="41">
        <f>K18-O18-Z18</f>
        <v>14231518.197775001</v>
      </c>
      <c r="U18" s="42"/>
      <c r="V18" s="68">
        <f>K18-I18</f>
        <v>14291527.197775001</v>
      </c>
      <c r="W18" s="69">
        <v>11000000</v>
      </c>
      <c r="X18" s="69"/>
      <c r="Y18" s="69">
        <f>MAX(V18-O18-W18-X18,0)</f>
        <v>2633177.1977750007</v>
      </c>
      <c r="Z18" s="69">
        <f>ROUND(IF(Y18&gt;80000000,((Y18-80000000)*0.35+18150000),IF(AND(Y18&gt;52000000,Y18&lt;=80000000),((Y18-52000000)*0.3+9750000),IF(AND(Y18&gt;32000000,Y18&lt;=52000000),((Y18-32000000)*0.25+4750000),IF(AND(Y18&gt;18000000,Y18&lt;=32000000),((Y18-18000000)*0.2+1950000),IF(AND(Y18&gt;10000000,Y18&lt;=18000000),((Y18-10000000)*0.15+750000),IF(AND(Y18&gt;5000000,Y18&lt;=10000000),((Y18-5000000)*0.1+250000),(Y18*0.05))))))),0)</f>
        <v>131659</v>
      </c>
    </row>
    <row r="19" spans="1:26" s="26" customFormat="1" ht="21.75" customHeight="1" x14ac:dyDescent="0.25">
      <c r="A19" s="29">
        <v>4</v>
      </c>
      <c r="B19" s="30" t="s">
        <v>31</v>
      </c>
      <c r="C19" s="31" t="s">
        <v>29</v>
      </c>
      <c r="D19" s="32">
        <f t="shared" ref="D19:D39" si="9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3077662.2841250002</v>
      </c>
      <c r="K19" s="36">
        <f t="shared" ref="K19:K40" si="10">F19+G19+H19+I19+J19</f>
        <v>13264862.284125</v>
      </c>
      <c r="L19" s="37">
        <f t="shared" si="4"/>
        <v>459552</v>
      </c>
      <c r="M19" s="38">
        <f t="shared" si="5"/>
        <v>86166</v>
      </c>
      <c r="N19" s="39">
        <f t="shared" si="6"/>
        <v>57444</v>
      </c>
      <c r="O19" s="40">
        <f t="shared" si="7"/>
        <v>603162</v>
      </c>
      <c r="P19" s="38">
        <f t="shared" ref="P19:P34" si="11">D19*17.5%</f>
        <v>1005269.9999999999</v>
      </c>
      <c r="Q19" s="38">
        <f t="shared" ref="Q19:Q40" si="12">D19*3%</f>
        <v>172332</v>
      </c>
      <c r="R19" s="38">
        <f t="shared" ref="R19:R39" si="13">D19*1%</f>
        <v>57444</v>
      </c>
      <c r="S19" s="40">
        <f t="shared" si="8"/>
        <v>1235046</v>
      </c>
      <c r="T19" s="41">
        <f t="shared" ref="T19:T56" si="14">K19-O19-Z19</f>
        <v>12661700.284125</v>
      </c>
      <c r="U19" s="42"/>
      <c r="V19" s="68">
        <f t="shared" si="1"/>
        <v>12534862.284125</v>
      </c>
      <c r="W19" s="69">
        <v>11000000</v>
      </c>
      <c r="X19" s="69">
        <f>4400000</f>
        <v>4400000</v>
      </c>
      <c r="Y19" s="69">
        <f t="shared" ref="Y19:Y54" si="15">MAX(V19-O19-W19-X19,0)</f>
        <v>0</v>
      </c>
      <c r="Z19" s="69">
        <f t="shared" ref="Z19:Z54" si="16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5</v>
      </c>
      <c r="B20" s="30" t="s">
        <v>32</v>
      </c>
      <c r="C20" s="31" t="s">
        <v>29</v>
      </c>
      <c r="D20" s="32">
        <f t="shared" si="9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3077662.2841250002</v>
      </c>
      <c r="K20" s="36">
        <f t="shared" si="10"/>
        <v>13264862.284125</v>
      </c>
      <c r="L20" s="37">
        <f t="shared" si="4"/>
        <v>459552</v>
      </c>
      <c r="M20" s="38">
        <f t="shared" si="5"/>
        <v>86166</v>
      </c>
      <c r="N20" s="39">
        <f t="shared" si="6"/>
        <v>57444</v>
      </c>
      <c r="O20" s="40">
        <f t="shared" si="7"/>
        <v>603162</v>
      </c>
      <c r="P20" s="38">
        <f t="shared" si="11"/>
        <v>1005269.9999999999</v>
      </c>
      <c r="Q20" s="38">
        <f t="shared" si="12"/>
        <v>172332</v>
      </c>
      <c r="R20" s="38">
        <f t="shared" si="13"/>
        <v>57444</v>
      </c>
      <c r="S20" s="40">
        <f t="shared" si="8"/>
        <v>1235046</v>
      </c>
      <c r="T20" s="41">
        <f t="shared" si="14"/>
        <v>12661700.284125</v>
      </c>
      <c r="U20" s="42"/>
      <c r="V20" s="68">
        <f t="shared" si="1"/>
        <v>12534862.284125</v>
      </c>
      <c r="W20" s="69">
        <v>11000000</v>
      </c>
      <c r="X20" s="69">
        <f>4400000</f>
        <v>4400000</v>
      </c>
      <c r="Y20" s="69">
        <f t="shared" si="15"/>
        <v>0</v>
      </c>
      <c r="Z20" s="69">
        <f t="shared" si="16"/>
        <v>0</v>
      </c>
    </row>
    <row r="21" spans="1:26" s="44" customFormat="1" ht="21.75" customHeight="1" x14ac:dyDescent="0.2">
      <c r="A21" s="29">
        <v>6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0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11"/>
        <v>1097250</v>
      </c>
      <c r="Q21" s="38">
        <f>D21*3%</f>
        <v>188100</v>
      </c>
      <c r="R21" s="38">
        <f t="shared" si="13"/>
        <v>62700</v>
      </c>
      <c r="S21" s="40">
        <f>P21+Q21+R21</f>
        <v>1348050</v>
      </c>
      <c r="T21" s="41">
        <f t="shared" si="14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15"/>
        <v>0</v>
      </c>
      <c r="Z21" s="69">
        <f t="shared" si="16"/>
        <v>0</v>
      </c>
    </row>
    <row r="22" spans="1:26" s="26" customFormat="1" ht="21.75" customHeight="1" x14ac:dyDescent="0.25">
      <c r="A22" s="29">
        <v>7</v>
      </c>
      <c r="B22" s="30" t="s">
        <v>51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2462129.8273000005</v>
      </c>
      <c r="K22" s="36">
        <f t="shared" si="10"/>
        <v>14021129.827300001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13417799.827300001</v>
      </c>
      <c r="U22" s="42"/>
      <c r="V22" s="68">
        <f t="shared" si="1"/>
        <v>13291129.827300001</v>
      </c>
      <c r="W22" s="69">
        <v>11000000</v>
      </c>
      <c r="X22" s="69">
        <f>4400000</f>
        <v>4400000</v>
      </c>
      <c r="Y22" s="69">
        <f t="shared" si="15"/>
        <v>0</v>
      </c>
      <c r="Z22" s="69">
        <f t="shared" si="16"/>
        <v>0</v>
      </c>
    </row>
    <row r="23" spans="1:26" s="26" customFormat="1" ht="21.75" customHeight="1" x14ac:dyDescent="0.25">
      <c r="A23" s="29">
        <v>8</v>
      </c>
      <c r="B23" s="30" t="s">
        <v>49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2462129.8273000005</v>
      </c>
      <c r="K23" s="36">
        <f t="shared" si="10"/>
        <v>14021129.827300001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13333409.827300001</v>
      </c>
      <c r="U23" s="42"/>
      <c r="V23" s="68">
        <f t="shared" si="1"/>
        <v>13291129.827300001</v>
      </c>
      <c r="W23" s="69">
        <v>11000000</v>
      </c>
      <c r="X23" s="69"/>
      <c r="Y23" s="69">
        <f t="shared" si="15"/>
        <v>1687799.8273000009</v>
      </c>
      <c r="Z23" s="69">
        <f t="shared" si="16"/>
        <v>84390</v>
      </c>
    </row>
    <row r="24" spans="1:26" s="26" customFormat="1" ht="21.75" customHeight="1" x14ac:dyDescent="0.25">
      <c r="A24" s="29">
        <v>9</v>
      </c>
      <c r="B24" s="30" t="s">
        <v>53</v>
      </c>
      <c r="C24" s="45" t="s">
        <v>30</v>
      </c>
      <c r="D24" s="32">
        <f t="shared" si="9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2462129.8273000005</v>
      </c>
      <c r="K24" s="36">
        <f t="shared" si="10"/>
        <v>14021129.827300001</v>
      </c>
      <c r="L24" s="37">
        <f t="shared" si="4"/>
        <v>459680</v>
      </c>
      <c r="M24" s="38">
        <f t="shared" si="5"/>
        <v>86190</v>
      </c>
      <c r="N24" s="39">
        <f t="shared" si="6"/>
        <v>57460</v>
      </c>
      <c r="O24" s="40">
        <f t="shared" si="7"/>
        <v>603330</v>
      </c>
      <c r="P24" s="38">
        <f t="shared" si="11"/>
        <v>1005549.9999999999</v>
      </c>
      <c r="Q24" s="38">
        <f t="shared" si="12"/>
        <v>172380</v>
      </c>
      <c r="R24" s="38">
        <f t="shared" si="13"/>
        <v>57460</v>
      </c>
      <c r="S24" s="40">
        <f t="shared" si="8"/>
        <v>1235390</v>
      </c>
      <c r="T24" s="41">
        <f t="shared" si="14"/>
        <v>13333409.827300001</v>
      </c>
      <c r="U24" s="42"/>
      <c r="V24" s="68">
        <f t="shared" si="1"/>
        <v>13291129.827300001</v>
      </c>
      <c r="W24" s="69">
        <v>11000000</v>
      </c>
      <c r="X24" s="69"/>
      <c r="Y24" s="69">
        <f t="shared" si="15"/>
        <v>1687799.8273000009</v>
      </c>
      <c r="Z24" s="69">
        <f t="shared" si="16"/>
        <v>84390</v>
      </c>
    </row>
    <row r="25" spans="1:26" s="26" customFormat="1" ht="21.75" customHeight="1" x14ac:dyDescent="0.25">
      <c r="A25" s="29">
        <v>10</v>
      </c>
      <c r="B25" s="30" t="s">
        <v>78</v>
      </c>
      <c r="C25" s="31" t="s">
        <v>29</v>
      </c>
      <c r="D25" s="32">
        <f t="shared" si="9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3077662.2841250002</v>
      </c>
      <c r="K25" s="36">
        <f t="shared" si="10"/>
        <v>13796862.284125</v>
      </c>
      <c r="L25" s="37">
        <f t="shared" si="4"/>
        <v>502112</v>
      </c>
      <c r="M25" s="38">
        <f t="shared" si="5"/>
        <v>94146</v>
      </c>
      <c r="N25" s="39">
        <f t="shared" si="6"/>
        <v>62764</v>
      </c>
      <c r="O25" s="40">
        <f t="shared" si="7"/>
        <v>659022</v>
      </c>
      <c r="P25" s="38">
        <f t="shared" si="11"/>
        <v>1098370</v>
      </c>
      <c r="Q25" s="38">
        <f t="shared" si="12"/>
        <v>188292</v>
      </c>
      <c r="R25" s="38">
        <f t="shared" si="13"/>
        <v>62764</v>
      </c>
      <c r="S25" s="40">
        <f t="shared" si="8"/>
        <v>1349426</v>
      </c>
      <c r="T25" s="41">
        <f t="shared" si="14"/>
        <v>13137840.284125</v>
      </c>
      <c r="U25" s="42"/>
      <c r="V25" s="68">
        <f t="shared" si="1"/>
        <v>13066862.284125</v>
      </c>
      <c r="W25" s="69">
        <v>11000000</v>
      </c>
      <c r="X25" s="69">
        <f>4400000*2</f>
        <v>8800000</v>
      </c>
      <c r="Y25" s="69">
        <f t="shared" si="15"/>
        <v>0</v>
      </c>
      <c r="Z25" s="69">
        <f t="shared" si="16"/>
        <v>0</v>
      </c>
    </row>
    <row r="26" spans="1:26" s="26" customFormat="1" ht="21.75" customHeight="1" x14ac:dyDescent="0.25">
      <c r="A26" s="29">
        <v>11</v>
      </c>
      <c r="B26" s="30" t="s">
        <v>80</v>
      </c>
      <c r="C26" s="45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3716386.9530000002</v>
      </c>
      <c r="K26" s="36">
        <f t="shared" si="10"/>
        <v>15275386.953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 t="shared" si="14"/>
        <v>14524953.953</v>
      </c>
      <c r="U26" s="42"/>
      <c r="V26" s="68">
        <f t="shared" si="1"/>
        <v>14545386.953</v>
      </c>
      <c r="W26" s="69">
        <v>11000000</v>
      </c>
      <c r="X26" s="69"/>
      <c r="Y26" s="69">
        <f t="shared" si="15"/>
        <v>2942056.9529999997</v>
      </c>
      <c r="Z26" s="69">
        <f t="shared" si="16"/>
        <v>147103</v>
      </c>
    </row>
    <row r="27" spans="1:26" s="53" customFormat="1" ht="21.75" customHeight="1" x14ac:dyDescent="0.25">
      <c r="A27" s="29">
        <v>12</v>
      </c>
      <c r="B27" s="30" t="s">
        <v>86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2462129.8273000005</v>
      </c>
      <c r="K27" s="36">
        <f t="shared" si="10"/>
        <v>14021129.827300001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si="14"/>
        <v>13333409.827300001</v>
      </c>
      <c r="U27" s="42"/>
      <c r="V27" s="68">
        <f t="shared" si="1"/>
        <v>13291129.827300001</v>
      </c>
      <c r="W27" s="69">
        <v>11000000</v>
      </c>
      <c r="X27" s="69"/>
      <c r="Y27" s="69">
        <f t="shared" si="15"/>
        <v>1687799.8273000009</v>
      </c>
      <c r="Z27" s="69">
        <f t="shared" si="16"/>
        <v>84390</v>
      </c>
    </row>
    <row r="28" spans="1:26" s="53" customFormat="1" ht="21.75" customHeight="1" x14ac:dyDescent="0.25">
      <c r="A28" s="29">
        <v>13</v>
      </c>
      <c r="B28" s="30" t="s">
        <v>89</v>
      </c>
      <c r="C28" s="31" t="s">
        <v>30</v>
      </c>
      <c r="D28" s="32">
        <f t="shared" si="9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3716386.9530000002</v>
      </c>
      <c r="K28" s="36">
        <f t="shared" si="10"/>
        <v>15275386.953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8"/>
        <v>1235390</v>
      </c>
      <c r="T28" s="41">
        <f t="shared" si="14"/>
        <v>14672056.953</v>
      </c>
      <c r="U28" s="42"/>
      <c r="V28" s="68">
        <f t="shared" si="1"/>
        <v>14545386.953</v>
      </c>
      <c r="W28" s="69">
        <v>11000000</v>
      </c>
      <c r="X28" s="69">
        <f>4400000*2</f>
        <v>8800000</v>
      </c>
      <c r="Y28" s="69">
        <f t="shared" si="15"/>
        <v>0</v>
      </c>
      <c r="Z28" s="69">
        <f t="shared" si="16"/>
        <v>0</v>
      </c>
    </row>
    <row r="29" spans="1:26" s="53" customFormat="1" ht="21.75" customHeight="1" x14ac:dyDescent="0.25">
      <c r="A29" s="29">
        <v>14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4955182.6040000003</v>
      </c>
      <c r="K29" s="36">
        <f t="shared" si="10"/>
        <v>15674382.604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si="14"/>
        <v>15015360.604</v>
      </c>
      <c r="U29" s="42"/>
      <c r="V29" s="68">
        <f t="shared" si="1"/>
        <v>14944382.604</v>
      </c>
      <c r="W29" s="69">
        <v>11000000</v>
      </c>
      <c r="X29" s="69">
        <f>4400000*3</f>
        <v>13200000</v>
      </c>
      <c r="Y29" s="69">
        <f t="shared" si="15"/>
        <v>0</v>
      </c>
      <c r="Z29" s="69">
        <f t="shared" si="16"/>
        <v>0</v>
      </c>
    </row>
    <row r="30" spans="1:26" s="53" customFormat="1" ht="21.75" customHeight="1" x14ac:dyDescent="0.25">
      <c r="A30" s="29">
        <v>15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4955182.6040000003</v>
      </c>
      <c r="K30" s="36">
        <f t="shared" si="10"/>
        <v>15674382.604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4"/>
        <v>15015360.604</v>
      </c>
      <c r="U30" s="42"/>
      <c r="V30" s="68">
        <f t="shared" si="1"/>
        <v>14944382.604</v>
      </c>
      <c r="W30" s="69">
        <v>11000000</v>
      </c>
      <c r="X30" s="69">
        <f>4400000</f>
        <v>4400000</v>
      </c>
      <c r="Y30" s="69">
        <f t="shared" si="15"/>
        <v>0</v>
      </c>
      <c r="Z30" s="69">
        <f t="shared" si="16"/>
        <v>0</v>
      </c>
    </row>
    <row r="31" spans="1:26" s="53" customFormat="1" ht="21.75" customHeight="1" x14ac:dyDescent="0.25">
      <c r="A31" s="29">
        <v>16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3716386.9530000002</v>
      </c>
      <c r="K31" s="36">
        <f t="shared" si="10"/>
        <v>15275386.953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 t="shared" si="14"/>
        <v>14672056.953</v>
      </c>
      <c r="U31" s="42"/>
      <c r="V31" s="68">
        <f t="shared" si="1"/>
        <v>14545386.953</v>
      </c>
      <c r="W31" s="69">
        <v>11000000</v>
      </c>
      <c r="X31" s="69">
        <f>4400000*3</f>
        <v>13200000</v>
      </c>
      <c r="Y31" s="69">
        <f t="shared" si="15"/>
        <v>0</v>
      </c>
      <c r="Z31" s="69">
        <f t="shared" si="16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35"/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/>
      <c r="Z32" s="95">
        <f t="shared" si="16"/>
        <v>0</v>
      </c>
    </row>
    <row r="33" spans="1:26" s="53" customFormat="1" ht="21.75" customHeight="1" x14ac:dyDescent="0.25">
      <c r="A33" s="29">
        <v>17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2462129.8273000005</v>
      </c>
      <c r="K33" s="36">
        <f t="shared" si="10"/>
        <v>14021129.827300001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 t="shared" si="14"/>
        <v>13333409.827300001</v>
      </c>
      <c r="U33" s="42"/>
      <c r="V33" s="68">
        <f t="shared" si="1"/>
        <v>13291129.827300001</v>
      </c>
      <c r="W33" s="69">
        <v>11000000</v>
      </c>
      <c r="X33" s="69"/>
      <c r="Y33" s="69">
        <f t="shared" si="15"/>
        <v>1687799.8273000009</v>
      </c>
      <c r="Z33" s="69">
        <f t="shared" si="16"/>
        <v>84390</v>
      </c>
    </row>
    <row r="34" spans="1:26" s="53" customFormat="1" ht="21.75" customHeight="1" x14ac:dyDescent="0.25">
      <c r="A34" s="29">
        <v>18</v>
      </c>
      <c r="B34" s="30" t="s">
        <v>102</v>
      </c>
      <c r="C34" s="31" t="s">
        <v>112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7432773.9060000004</v>
      </c>
      <c r="K34" s="36">
        <f t="shared" si="10"/>
        <v>19943373.905999999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 t="shared" si="14"/>
        <v>19110177.905999999</v>
      </c>
      <c r="U34" s="42"/>
      <c r="V34" s="68">
        <f t="shared" si="1"/>
        <v>19213373.905999999</v>
      </c>
      <c r="W34" s="69">
        <v>11000000</v>
      </c>
      <c r="X34" s="69">
        <f>4400000*3</f>
        <v>13200000</v>
      </c>
      <c r="Y34" s="69">
        <f t="shared" si="15"/>
        <v>0</v>
      </c>
      <c r="Z34" s="69">
        <f t="shared" si="16"/>
        <v>0</v>
      </c>
    </row>
    <row r="35" spans="1:26" s="53" customFormat="1" ht="21.75" customHeight="1" x14ac:dyDescent="0.25">
      <c r="A35" s="29">
        <v>19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3077662.2841250002</v>
      </c>
      <c r="K35" s="36">
        <f t="shared" si="10"/>
        <v>14108862.284125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si="14"/>
        <v>13332726.284125</v>
      </c>
      <c r="U35" s="42"/>
      <c r="V35" s="68">
        <f t="shared" si="1"/>
        <v>13378862.284125</v>
      </c>
      <c r="W35" s="69">
        <v>11000000</v>
      </c>
      <c r="X35" s="69"/>
      <c r="Y35" s="69">
        <f t="shared" si="15"/>
        <v>1687080.2841250002</v>
      </c>
      <c r="Z35" s="69">
        <f t="shared" si="16"/>
        <v>84354</v>
      </c>
    </row>
    <row r="36" spans="1:26" s="53" customFormat="1" ht="21.75" customHeight="1" x14ac:dyDescent="0.25">
      <c r="A36" s="29">
        <v>20</v>
      </c>
      <c r="B36" s="30" t="s">
        <v>109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3077662.2841250002</v>
      </c>
      <c r="K36" s="36">
        <f t="shared" si="10"/>
        <v>14108862.284125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4"/>
        <v>13417080.284125</v>
      </c>
      <c r="U36" s="42"/>
      <c r="V36" s="68">
        <f t="shared" si="1"/>
        <v>13378862.284125</v>
      </c>
      <c r="W36" s="69">
        <v>11000000</v>
      </c>
      <c r="X36" s="69">
        <f>4400000</f>
        <v>4400000</v>
      </c>
      <c r="Y36" s="69">
        <f t="shared" si="15"/>
        <v>0</v>
      </c>
      <c r="Z36" s="69">
        <f t="shared" si="16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15"/>
        <v>0</v>
      </c>
      <c r="Z37" s="69">
        <f t="shared" si="16"/>
        <v>0</v>
      </c>
    </row>
    <row r="38" spans="1:26" s="53" customFormat="1" ht="21.75" customHeight="1" x14ac:dyDescent="0.25">
      <c r="A38" s="29">
        <v>21</v>
      </c>
      <c r="B38" s="30" t="s">
        <v>131</v>
      </c>
      <c r="C38" s="31" t="s">
        <v>29</v>
      </c>
      <c r="D38" s="32">
        <f t="shared" si="9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3077662.2841250002</v>
      </c>
      <c r="K38" s="36">
        <f t="shared" si="10"/>
        <v>14108862.284125</v>
      </c>
      <c r="L38" s="37">
        <f t="shared" si="4"/>
        <v>527072</v>
      </c>
      <c r="M38" s="38">
        <f t="shared" si="5"/>
        <v>98826</v>
      </c>
      <c r="N38" s="39">
        <f t="shared" si="6"/>
        <v>65884</v>
      </c>
      <c r="O38" s="40">
        <f>L38+M38+N38</f>
        <v>691782</v>
      </c>
      <c r="P38" s="38">
        <f>D38*17.5%</f>
        <v>1152970</v>
      </c>
      <c r="Q38" s="38">
        <f t="shared" si="12"/>
        <v>197652</v>
      </c>
      <c r="R38" s="38">
        <f t="shared" si="13"/>
        <v>65884</v>
      </c>
      <c r="S38" s="40">
        <f t="shared" si="8"/>
        <v>1416506</v>
      </c>
      <c r="T38" s="41">
        <f t="shared" si="14"/>
        <v>13332726.284125</v>
      </c>
      <c r="U38" s="42"/>
      <c r="V38" s="68">
        <f t="shared" si="1"/>
        <v>13378862.284125</v>
      </c>
      <c r="W38" s="69">
        <v>11000000</v>
      </c>
      <c r="X38" s="69"/>
      <c r="Y38" s="69">
        <f t="shared" si="15"/>
        <v>1687080.2841250002</v>
      </c>
      <c r="Z38" s="69">
        <f t="shared" si="16"/>
        <v>84354</v>
      </c>
    </row>
    <row r="39" spans="1:26" s="53" customFormat="1" ht="21.75" customHeight="1" x14ac:dyDescent="0.25">
      <c r="A39" s="29">
        <v>22</v>
      </c>
      <c r="B39" s="30" t="s">
        <v>132</v>
      </c>
      <c r="C39" s="31" t="s">
        <v>29</v>
      </c>
      <c r="D39" s="32">
        <f t="shared" si="9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3077662.2841250002</v>
      </c>
      <c r="K39" s="36">
        <f t="shared" si="10"/>
        <v>14108862.284125</v>
      </c>
      <c r="L39" s="37">
        <f t="shared" si="4"/>
        <v>527072</v>
      </c>
      <c r="M39" s="38">
        <f t="shared" si="5"/>
        <v>98826</v>
      </c>
      <c r="N39" s="39">
        <f t="shared" si="6"/>
        <v>65884</v>
      </c>
      <c r="O39" s="40">
        <f>L39+M39+N39</f>
        <v>691782</v>
      </c>
      <c r="P39" s="38">
        <f>D39*17.5%</f>
        <v>1152970</v>
      </c>
      <c r="Q39" s="38">
        <f t="shared" si="12"/>
        <v>197652</v>
      </c>
      <c r="R39" s="38">
        <f t="shared" si="13"/>
        <v>65884</v>
      </c>
      <c r="S39" s="40">
        <f t="shared" si="8"/>
        <v>1416506</v>
      </c>
      <c r="T39" s="41">
        <f t="shared" si="14"/>
        <v>13332726.284125</v>
      </c>
      <c r="U39" s="42"/>
      <c r="V39" s="68">
        <f t="shared" si="1"/>
        <v>13378862.284125</v>
      </c>
      <c r="W39" s="69">
        <v>11000000</v>
      </c>
      <c r="X39" s="69"/>
      <c r="Y39" s="69">
        <f t="shared" si="15"/>
        <v>1687080.2841250002</v>
      </c>
      <c r="Z39" s="69">
        <f t="shared" si="16"/>
        <v>84354</v>
      </c>
    </row>
    <row r="40" spans="1:26" s="53" customFormat="1" ht="21.75" customHeight="1" x14ac:dyDescent="0.25">
      <c r="A40" s="62">
        <v>23</v>
      </c>
      <c r="B40" s="63" t="s">
        <v>133</v>
      </c>
      <c r="C40" s="31" t="s">
        <v>30</v>
      </c>
      <c r="D40" s="32">
        <v>5746000</v>
      </c>
      <c r="E40" s="33"/>
      <c r="F40" s="34"/>
      <c r="G40" s="34"/>
      <c r="H40" s="35"/>
      <c r="I40" s="35"/>
      <c r="J40" s="35"/>
      <c r="K40" s="36">
        <f t="shared" si="10"/>
        <v>0</v>
      </c>
      <c r="L40" s="37"/>
      <c r="M40" s="38">
        <f t="shared" si="5"/>
        <v>86190</v>
      </c>
      <c r="N40" s="39"/>
      <c r="O40" s="40">
        <f t="shared" ref="O40" si="17">L40+M40+N40</f>
        <v>86190</v>
      </c>
      <c r="P40" s="38"/>
      <c r="Q40" s="38">
        <f t="shared" si="12"/>
        <v>172380</v>
      </c>
      <c r="R40" s="38"/>
      <c r="S40" s="40">
        <f t="shared" si="8"/>
        <v>172380</v>
      </c>
      <c r="T40" s="41">
        <f t="shared" si="14"/>
        <v>-86190</v>
      </c>
      <c r="U40" s="42"/>
      <c r="V40" s="68">
        <f t="shared" si="1"/>
        <v>0</v>
      </c>
      <c r="W40" s="69"/>
      <c r="X40" s="69"/>
      <c r="Y40" s="69">
        <f t="shared" si="15"/>
        <v>0</v>
      </c>
      <c r="Z40" s="69">
        <f t="shared" si="16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24</v>
      </c>
      <c r="B42" s="30" t="s">
        <v>139</v>
      </c>
      <c r="C42" s="31" t="s">
        <v>30</v>
      </c>
      <c r="D42" s="32">
        <f t="shared" ref="D42:D46" si="18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3716386.9530000002</v>
      </c>
      <c r="K42" s="36">
        <f t="shared" ref="K42:K46" si="19">F42+G42+H42+I42+J42</f>
        <v>15275386.953</v>
      </c>
      <c r="L42" s="37">
        <f t="shared" ref="L42:L46" si="20">D42*8%</f>
        <v>459680</v>
      </c>
      <c r="M42" s="38">
        <f t="shared" ref="M42:M46" si="21">D42*1.5%</f>
        <v>86190</v>
      </c>
      <c r="N42" s="39">
        <f t="shared" ref="N42:N46" si="22">D42*1%</f>
        <v>57460</v>
      </c>
      <c r="O42" s="40">
        <f t="shared" ref="O42" si="23">L42+M42+N42</f>
        <v>603330</v>
      </c>
      <c r="P42" s="38">
        <f t="shared" ref="P42" si="24">D42*17.5%</f>
        <v>1005549.9999999999</v>
      </c>
      <c r="Q42" s="38">
        <f t="shared" ref="Q42:Q46" si="25">D42*3%</f>
        <v>172380</v>
      </c>
      <c r="R42" s="38">
        <f t="shared" ref="R42:R46" si="26">D42*1%</f>
        <v>57460</v>
      </c>
      <c r="S42" s="40">
        <f t="shared" ref="S42:S46" si="27">P42+Q42+R42</f>
        <v>1235390</v>
      </c>
      <c r="T42" s="41">
        <f t="shared" ref="T42:T46" si="28">K42-O42-Z42</f>
        <v>14524953.953</v>
      </c>
      <c r="U42" s="42"/>
      <c r="V42" s="68">
        <f t="shared" ref="V42:V46" si="29">K42-I42</f>
        <v>14545386.953</v>
      </c>
      <c r="W42" s="69">
        <v>11000000</v>
      </c>
      <c r="X42" s="69"/>
      <c r="Y42" s="69">
        <f t="shared" ref="Y42:Y46" si="30">MAX(V42-O42-W42-X42,0)</f>
        <v>2942056.9529999997</v>
      </c>
      <c r="Z42" s="69">
        <f t="shared" ref="Z42:Z46" si="31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147103</v>
      </c>
    </row>
    <row r="43" spans="1:26" s="53" customFormat="1" ht="21.75" customHeight="1" x14ac:dyDescent="0.25">
      <c r="A43" s="62">
        <v>25</v>
      </c>
      <c r="B43" s="30" t="s">
        <v>146</v>
      </c>
      <c r="C43" s="31" t="s">
        <v>29</v>
      </c>
      <c r="D43" s="32">
        <f t="shared" si="18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4955182.6040000003</v>
      </c>
      <c r="K43" s="36">
        <f t="shared" si="19"/>
        <v>15986382.604</v>
      </c>
      <c r="L43" s="37">
        <f t="shared" si="20"/>
        <v>527072</v>
      </c>
      <c r="M43" s="38">
        <f t="shared" si="21"/>
        <v>98826</v>
      </c>
      <c r="N43" s="39">
        <f t="shared" si="22"/>
        <v>65884</v>
      </c>
      <c r="O43" s="40">
        <f>L43+M43+N43</f>
        <v>691782</v>
      </c>
      <c r="P43" s="38">
        <f>D43*17.5%</f>
        <v>1152970</v>
      </c>
      <c r="Q43" s="38">
        <f t="shared" si="25"/>
        <v>197652</v>
      </c>
      <c r="R43" s="38">
        <f t="shared" si="26"/>
        <v>65884</v>
      </c>
      <c r="S43" s="40">
        <f t="shared" si="27"/>
        <v>1416506</v>
      </c>
      <c r="T43" s="41">
        <f t="shared" si="28"/>
        <v>15116370.604</v>
      </c>
      <c r="U43" s="42"/>
      <c r="V43" s="68">
        <f t="shared" si="29"/>
        <v>15256382.604</v>
      </c>
      <c r="W43" s="69">
        <v>11000000</v>
      </c>
      <c r="X43" s="69"/>
      <c r="Y43" s="69">
        <f t="shared" si="30"/>
        <v>3564600.6040000003</v>
      </c>
      <c r="Z43" s="69">
        <f t="shared" si="31"/>
        <v>178230</v>
      </c>
    </row>
    <row r="44" spans="1:26" s="53" customFormat="1" ht="21.75" customHeight="1" x14ac:dyDescent="0.25">
      <c r="A44" s="29">
        <v>26</v>
      </c>
      <c r="B44" s="30" t="s">
        <v>147</v>
      </c>
      <c r="C44" s="31" t="s">
        <v>29</v>
      </c>
      <c r="D44" s="32">
        <f t="shared" si="18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4955182.6040000003</v>
      </c>
      <c r="K44" s="36">
        <f t="shared" si="19"/>
        <v>15986382.604</v>
      </c>
      <c r="L44" s="37">
        <f t="shared" si="20"/>
        <v>527072</v>
      </c>
      <c r="M44" s="38">
        <f t="shared" si="21"/>
        <v>98826</v>
      </c>
      <c r="N44" s="39">
        <f t="shared" si="22"/>
        <v>65884</v>
      </c>
      <c r="O44" s="40">
        <f>L44+M44+N44</f>
        <v>691782</v>
      </c>
      <c r="P44" s="38">
        <f>D44*17.5%</f>
        <v>1152970</v>
      </c>
      <c r="Q44" s="38">
        <f t="shared" si="25"/>
        <v>197652</v>
      </c>
      <c r="R44" s="38">
        <f t="shared" si="26"/>
        <v>65884</v>
      </c>
      <c r="S44" s="40">
        <f t="shared" si="27"/>
        <v>1416506</v>
      </c>
      <c r="T44" s="41">
        <f t="shared" si="28"/>
        <v>15116370.604</v>
      </c>
      <c r="U44" s="42"/>
      <c r="V44" s="68">
        <f t="shared" si="29"/>
        <v>15256382.604</v>
      </c>
      <c r="W44" s="69">
        <v>11000000</v>
      </c>
      <c r="X44" s="69"/>
      <c r="Y44" s="69">
        <f t="shared" si="30"/>
        <v>3564600.6040000003</v>
      </c>
      <c r="Z44" s="69">
        <f t="shared" si="31"/>
        <v>178230</v>
      </c>
    </row>
    <row r="45" spans="1:26" s="53" customFormat="1" ht="21.75" customHeight="1" x14ac:dyDescent="0.25">
      <c r="A45" s="29">
        <v>27</v>
      </c>
      <c r="B45" s="30" t="s">
        <v>148</v>
      </c>
      <c r="C45" s="31" t="s">
        <v>29</v>
      </c>
      <c r="D45" s="32">
        <f t="shared" si="18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4955182.6040000003</v>
      </c>
      <c r="K45" s="36">
        <f t="shared" si="19"/>
        <v>15986382.604</v>
      </c>
      <c r="L45" s="37">
        <f t="shared" si="20"/>
        <v>527072</v>
      </c>
      <c r="M45" s="38">
        <f t="shared" si="21"/>
        <v>98826</v>
      </c>
      <c r="N45" s="39">
        <f t="shared" si="22"/>
        <v>65884</v>
      </c>
      <c r="O45" s="40">
        <f>L45+M45+N45</f>
        <v>691782</v>
      </c>
      <c r="P45" s="38">
        <f>D45*17.5%</f>
        <v>1152970</v>
      </c>
      <c r="Q45" s="38">
        <f t="shared" si="25"/>
        <v>197652</v>
      </c>
      <c r="R45" s="38">
        <f t="shared" si="26"/>
        <v>65884</v>
      </c>
      <c r="S45" s="40">
        <f t="shared" si="27"/>
        <v>1416506</v>
      </c>
      <c r="T45" s="41">
        <f t="shared" si="28"/>
        <v>15116370.604</v>
      </c>
      <c r="U45" s="42"/>
      <c r="V45" s="68">
        <f t="shared" si="29"/>
        <v>15256382.604</v>
      </c>
      <c r="W45" s="69">
        <v>11000000</v>
      </c>
      <c r="X45" s="69"/>
      <c r="Y45" s="69">
        <f t="shared" si="30"/>
        <v>3564600.6040000003</v>
      </c>
      <c r="Z45" s="69">
        <f t="shared" si="31"/>
        <v>178230</v>
      </c>
    </row>
    <row r="46" spans="1:26" s="53" customFormat="1" ht="21.75" customHeight="1" x14ac:dyDescent="0.25">
      <c r="A46" s="29">
        <v>28</v>
      </c>
      <c r="B46" s="30" t="s">
        <v>149</v>
      </c>
      <c r="C46" s="31" t="s">
        <v>120</v>
      </c>
      <c r="D46" s="32">
        <f t="shared" si="18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4955182.6040000003</v>
      </c>
      <c r="K46" s="36">
        <f t="shared" si="19"/>
        <v>16514182.604</v>
      </c>
      <c r="L46" s="37">
        <f t="shared" si="20"/>
        <v>459680</v>
      </c>
      <c r="M46" s="38">
        <f t="shared" si="21"/>
        <v>86190</v>
      </c>
      <c r="N46" s="39">
        <f t="shared" si="22"/>
        <v>57460</v>
      </c>
      <c r="O46" s="40">
        <f t="shared" ref="O46" si="32">L46+M46+N46</f>
        <v>603330</v>
      </c>
      <c r="P46" s="38">
        <f t="shared" ref="P46" si="33">D46*17.5%</f>
        <v>1005549.9999999999</v>
      </c>
      <c r="Q46" s="38">
        <f t="shared" si="25"/>
        <v>172380</v>
      </c>
      <c r="R46" s="38">
        <f t="shared" si="26"/>
        <v>57460</v>
      </c>
      <c r="S46" s="40">
        <f t="shared" si="27"/>
        <v>1235390</v>
      </c>
      <c r="T46" s="41">
        <f t="shared" si="28"/>
        <v>15701809.604</v>
      </c>
      <c r="U46" s="42"/>
      <c r="V46" s="68">
        <f t="shared" si="29"/>
        <v>15784182.604</v>
      </c>
      <c r="W46" s="69">
        <v>11000000</v>
      </c>
      <c r="X46" s="69"/>
      <c r="Y46" s="69">
        <f t="shared" si="30"/>
        <v>4180852.6040000003</v>
      </c>
      <c r="Z46" s="69">
        <f t="shared" si="31"/>
        <v>209043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SUM(D49:D56)</f>
        <v>41012000</v>
      </c>
      <c r="E48" s="51">
        <f t="shared" ref="E48:Z48" si="34">SUM(E49:E56)</f>
        <v>182</v>
      </c>
      <c r="F48" s="51">
        <f t="shared" si="34"/>
        <v>34111800</v>
      </c>
      <c r="G48" s="51">
        <f t="shared" si="34"/>
        <v>6900200</v>
      </c>
      <c r="H48" s="51">
        <f t="shared" si="34"/>
        <v>27757600</v>
      </c>
      <c r="I48" s="51">
        <f t="shared" si="34"/>
        <v>5110000</v>
      </c>
      <c r="J48" s="51">
        <f t="shared" si="34"/>
        <v>0</v>
      </c>
      <c r="K48" s="51">
        <f t="shared" si="34"/>
        <v>73879600</v>
      </c>
      <c r="L48" s="51">
        <f t="shared" si="34"/>
        <v>3280960</v>
      </c>
      <c r="M48" s="51">
        <f t="shared" si="34"/>
        <v>615180</v>
      </c>
      <c r="N48" s="51">
        <f t="shared" si="34"/>
        <v>410120</v>
      </c>
      <c r="O48" s="51">
        <f t="shared" si="34"/>
        <v>4306260</v>
      </c>
      <c r="P48" s="51">
        <f t="shared" si="34"/>
        <v>7177100</v>
      </c>
      <c r="Q48" s="51">
        <f t="shared" si="34"/>
        <v>1230360</v>
      </c>
      <c r="R48" s="51">
        <f t="shared" si="34"/>
        <v>410120</v>
      </c>
      <c r="S48" s="51">
        <f t="shared" si="34"/>
        <v>8817580</v>
      </c>
      <c r="T48" s="51">
        <f t="shared" si="34"/>
        <v>69573340</v>
      </c>
      <c r="U48" s="51">
        <f t="shared" si="34"/>
        <v>0</v>
      </c>
      <c r="V48" s="51">
        <f t="shared" si="34"/>
        <v>68769600</v>
      </c>
      <c r="W48" s="51">
        <f t="shared" si="34"/>
        <v>77000000</v>
      </c>
      <c r="X48" s="51">
        <f t="shared" si="34"/>
        <v>4400000</v>
      </c>
      <c r="Y48" s="51">
        <f t="shared" si="34"/>
        <v>0</v>
      </c>
      <c r="Z48" s="51">
        <f t="shared" si="34"/>
        <v>0</v>
      </c>
    </row>
    <row r="49" spans="1:26" s="26" customFormat="1" ht="21.75" customHeight="1" x14ac:dyDescent="0.25">
      <c r="A49" s="29">
        <v>29</v>
      </c>
      <c r="B49" s="30" t="s">
        <v>42</v>
      </c>
      <c r="C49" s="31" t="s">
        <v>41</v>
      </c>
      <c r="D49" s="43">
        <f t="shared" ref="D49:D54" si="35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36">D49*8%</f>
        <v>443632</v>
      </c>
      <c r="M49" s="38">
        <f t="shared" ref="M49:M54" si="37">D49*1.5%</f>
        <v>83181</v>
      </c>
      <c r="N49" s="39">
        <f t="shared" ref="N49:N54" si="38">D49*1%</f>
        <v>55454</v>
      </c>
      <c r="O49" s="40">
        <f t="shared" ref="O49:O54" si="39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40">P49+Q49+R49</f>
        <v>1192261</v>
      </c>
      <c r="T49" s="41">
        <f t="shared" si="14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15"/>
        <v>0</v>
      </c>
      <c r="Z49" s="69">
        <f t="shared" si="16"/>
        <v>0</v>
      </c>
    </row>
    <row r="50" spans="1:26" s="26" customFormat="1" ht="21.75" customHeight="1" x14ac:dyDescent="0.25">
      <c r="A50" s="29">
        <v>30</v>
      </c>
      <c r="B50" s="30" t="s">
        <v>79</v>
      </c>
      <c r="C50" s="31" t="s">
        <v>40</v>
      </c>
      <c r="D50" s="43">
        <f t="shared" si="35"/>
        <v>6055400</v>
      </c>
      <c r="E50" s="33">
        <v>26</v>
      </c>
      <c r="F50" s="34">
        <v>4862000</v>
      </c>
      <c r="G50" s="34">
        <v>1193400</v>
      </c>
      <c r="H50" s="35">
        <v>3757000</v>
      </c>
      <c r="I50" s="35">
        <v>730000</v>
      </c>
      <c r="J50" s="35"/>
      <c r="K50" s="36">
        <f t="shared" ref="K50:K54" si="41">F50+G50+H50+I50+J50</f>
        <v>10542400</v>
      </c>
      <c r="L50" s="37">
        <f t="shared" si="36"/>
        <v>484432</v>
      </c>
      <c r="M50" s="38">
        <f t="shared" si="37"/>
        <v>90831</v>
      </c>
      <c r="N50" s="39">
        <f t="shared" si="38"/>
        <v>60554</v>
      </c>
      <c r="O50" s="40">
        <f t="shared" si="39"/>
        <v>635817</v>
      </c>
      <c r="P50" s="38">
        <f t="shared" ref="P50:P52" si="42">D50*17.5%</f>
        <v>1059695</v>
      </c>
      <c r="Q50" s="38">
        <f t="shared" ref="Q50:Q54" si="43">D50*3%</f>
        <v>181662</v>
      </c>
      <c r="R50" s="38">
        <f t="shared" ref="R50:R54" si="44">D50*1%</f>
        <v>60554</v>
      </c>
      <c r="S50" s="40">
        <f t="shared" si="40"/>
        <v>1301911</v>
      </c>
      <c r="T50" s="41">
        <f t="shared" si="14"/>
        <v>9906583</v>
      </c>
      <c r="U50" s="42"/>
      <c r="V50" s="68">
        <f t="shared" si="1"/>
        <v>9812400</v>
      </c>
      <c r="W50" s="69">
        <v>11000000</v>
      </c>
      <c r="X50" s="69">
        <f>4400000</f>
        <v>4400000</v>
      </c>
      <c r="Y50" s="69">
        <f t="shared" si="15"/>
        <v>0</v>
      </c>
      <c r="Z50" s="69">
        <f t="shared" si="16"/>
        <v>0</v>
      </c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15"/>
        <v>0</v>
      </c>
      <c r="Z51" s="69">
        <f t="shared" si="16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35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41"/>
        <v>10828400</v>
      </c>
      <c r="L52" s="37">
        <f t="shared" si="36"/>
        <v>503776</v>
      </c>
      <c r="M52" s="38">
        <f t="shared" si="37"/>
        <v>94458</v>
      </c>
      <c r="N52" s="39">
        <f t="shared" si="38"/>
        <v>62972</v>
      </c>
      <c r="O52" s="40">
        <f t="shared" si="39"/>
        <v>661206</v>
      </c>
      <c r="P52" s="38">
        <f t="shared" si="42"/>
        <v>1102010</v>
      </c>
      <c r="Q52" s="38">
        <f t="shared" si="43"/>
        <v>188916</v>
      </c>
      <c r="R52" s="38">
        <f t="shared" si="44"/>
        <v>62972</v>
      </c>
      <c r="S52" s="40">
        <f t="shared" si="40"/>
        <v>1353898</v>
      </c>
      <c r="T52" s="41">
        <f t="shared" si="14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15"/>
        <v>0</v>
      </c>
      <c r="Z52" s="69">
        <f t="shared" si="16"/>
        <v>0</v>
      </c>
    </row>
    <row r="53" spans="1:26" s="14" customFormat="1" ht="17.25" customHeight="1" x14ac:dyDescent="0.25">
      <c r="A53" s="62">
        <v>32</v>
      </c>
      <c r="B53" s="64" t="s">
        <v>117</v>
      </c>
      <c r="C53" s="31" t="s">
        <v>40</v>
      </c>
      <c r="D53" s="43">
        <f t="shared" si="35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41"/>
        <v>10828400</v>
      </c>
      <c r="L53" s="37">
        <f t="shared" si="36"/>
        <v>503776</v>
      </c>
      <c r="M53" s="38">
        <f t="shared" si="37"/>
        <v>94458</v>
      </c>
      <c r="N53" s="39">
        <f t="shared" si="38"/>
        <v>62972</v>
      </c>
      <c r="O53" s="40">
        <f t="shared" si="39"/>
        <v>661206</v>
      </c>
      <c r="P53" s="38">
        <f>D53*17.5%</f>
        <v>1102010</v>
      </c>
      <c r="Q53" s="38">
        <f t="shared" si="43"/>
        <v>188916</v>
      </c>
      <c r="R53" s="38">
        <f t="shared" si="44"/>
        <v>62972</v>
      </c>
      <c r="S53" s="40">
        <f t="shared" si="40"/>
        <v>1353898</v>
      </c>
      <c r="T53" s="41">
        <f t="shared" si="14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15"/>
        <v>0</v>
      </c>
      <c r="Z53" s="69">
        <f t="shared" si="16"/>
        <v>0</v>
      </c>
    </row>
    <row r="54" spans="1:26" s="14" customFormat="1" ht="17.25" customHeight="1" x14ac:dyDescent="0.25">
      <c r="A54" s="29">
        <v>33</v>
      </c>
      <c r="B54" s="30" t="s">
        <v>121</v>
      </c>
      <c r="C54" s="31" t="s">
        <v>40</v>
      </c>
      <c r="D54" s="43">
        <f t="shared" si="35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41"/>
        <v>10828400</v>
      </c>
      <c r="L54" s="37">
        <f t="shared" si="36"/>
        <v>503776</v>
      </c>
      <c r="M54" s="38">
        <f t="shared" si="37"/>
        <v>94458</v>
      </c>
      <c r="N54" s="39">
        <f t="shared" si="38"/>
        <v>62972</v>
      </c>
      <c r="O54" s="40">
        <f t="shared" si="39"/>
        <v>661206</v>
      </c>
      <c r="P54" s="38">
        <f>D54*17.5%</f>
        <v>1102010</v>
      </c>
      <c r="Q54" s="38">
        <f t="shared" si="43"/>
        <v>188916</v>
      </c>
      <c r="R54" s="38">
        <f t="shared" si="44"/>
        <v>62972</v>
      </c>
      <c r="S54" s="40">
        <f t="shared" si="40"/>
        <v>1353898</v>
      </c>
      <c r="T54" s="41">
        <f t="shared" si="14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15"/>
        <v>0</v>
      </c>
      <c r="Z54" s="69">
        <f t="shared" si="16"/>
        <v>0</v>
      </c>
    </row>
    <row r="55" spans="1:26" s="14" customFormat="1" ht="21.75" customHeight="1" x14ac:dyDescent="0.25">
      <c r="A55" s="62">
        <v>34</v>
      </c>
      <c r="B55" s="30" t="s">
        <v>135</v>
      </c>
      <c r="C55" s="31" t="s">
        <v>41</v>
      </c>
      <c r="D55" s="43">
        <f>F55+G55</f>
        <v>4773600</v>
      </c>
      <c r="E55" s="33">
        <v>26</v>
      </c>
      <c r="F55" s="34">
        <v>4773600</v>
      </c>
      <c r="G55" s="34"/>
      <c r="H55" s="35">
        <v>3757000</v>
      </c>
      <c r="I55" s="35">
        <v>730000</v>
      </c>
      <c r="J55" s="35"/>
      <c r="K55" s="36">
        <f>F55+G55+H55+I55</f>
        <v>9260600</v>
      </c>
      <c r="L55" s="37">
        <f>D55*8%</f>
        <v>381888</v>
      </c>
      <c r="M55" s="38">
        <f>D55*1.5%</f>
        <v>71604</v>
      </c>
      <c r="N55" s="39">
        <f>D55*1%</f>
        <v>47736</v>
      </c>
      <c r="O55" s="40">
        <f>L55+M55+N55</f>
        <v>501228</v>
      </c>
      <c r="P55" s="38">
        <f>D55*17.5%</f>
        <v>835380</v>
      </c>
      <c r="Q55" s="38">
        <f>D55*3%</f>
        <v>143208</v>
      </c>
      <c r="R55" s="38">
        <f>D55*1%</f>
        <v>47736</v>
      </c>
      <c r="S55" s="40">
        <f>P55+Q55+R55</f>
        <v>1026324</v>
      </c>
      <c r="T55" s="41">
        <f t="shared" si="14"/>
        <v>8759372</v>
      </c>
      <c r="U55" s="42"/>
      <c r="V55" s="68">
        <f>K55-I55</f>
        <v>8530600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>
        <f t="shared" ref="D56" si="45">F56+G56</f>
        <v>5746000</v>
      </c>
      <c r="E56" s="33">
        <v>26</v>
      </c>
      <c r="F56" s="34">
        <v>4773600</v>
      </c>
      <c r="G56" s="34">
        <v>972400</v>
      </c>
      <c r="H56" s="35">
        <v>5083000</v>
      </c>
      <c r="I56" s="35">
        <v>730000</v>
      </c>
      <c r="J56" s="35"/>
      <c r="K56" s="36">
        <f t="shared" ref="K56" si="46">F56+G56+H56+I56+J56</f>
        <v>11559000</v>
      </c>
      <c r="L56" s="37">
        <f t="shared" ref="L56" si="47">D56*8%</f>
        <v>459680</v>
      </c>
      <c r="M56" s="38">
        <f t="shared" ref="M56" si="48">D56*1.5%</f>
        <v>86190</v>
      </c>
      <c r="N56" s="39">
        <f t="shared" ref="N56" si="49">D56*1%</f>
        <v>57460</v>
      </c>
      <c r="O56" s="40">
        <f t="shared" ref="O56" si="50">L56+M56+N56</f>
        <v>603330</v>
      </c>
      <c r="P56" s="38">
        <f t="shared" ref="P56" si="51">D56*17.5%</f>
        <v>1005549.9999999999</v>
      </c>
      <c r="Q56" s="38">
        <f t="shared" ref="Q56" si="52">D56*3%</f>
        <v>172380</v>
      </c>
      <c r="R56" s="38">
        <f t="shared" ref="R56" si="53">D56*1%</f>
        <v>57460</v>
      </c>
      <c r="S56" s="40">
        <f t="shared" ref="S56" si="54">P56+Q56+R56</f>
        <v>1235390</v>
      </c>
      <c r="T56" s="41">
        <f t="shared" si="14"/>
        <v>10955670</v>
      </c>
      <c r="U56" s="42"/>
      <c r="V56" s="68">
        <f t="shared" ref="V56" si="55">K56-I56</f>
        <v>10829000</v>
      </c>
      <c r="W56" s="69">
        <v>11000000</v>
      </c>
      <c r="X56" s="69"/>
      <c r="Y56" s="69">
        <f t="shared" ref="Y56" si="56">MAX(V56-O56-W56-X56,0)</f>
        <v>0</v>
      </c>
      <c r="Z56" s="69">
        <f t="shared" ref="Z56" si="57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58">D11+D13+D17+D48</f>
        <v>226365200</v>
      </c>
      <c r="E57" s="47">
        <f t="shared" si="58"/>
        <v>884</v>
      </c>
      <c r="F57" s="47">
        <f t="shared" si="58"/>
        <v>183078600</v>
      </c>
      <c r="G57" s="47">
        <f t="shared" si="58"/>
        <v>37540600</v>
      </c>
      <c r="H57" s="47">
        <f t="shared" si="58"/>
        <v>138346000</v>
      </c>
      <c r="I57" s="47">
        <f t="shared" si="58"/>
        <v>24090000</v>
      </c>
      <c r="J57" s="47">
        <f t="shared" si="58"/>
        <v>90192429.665150017</v>
      </c>
      <c r="K57" s="47">
        <f t="shared" si="58"/>
        <v>460082429.66514987</v>
      </c>
      <c r="L57" s="47">
        <f t="shared" si="58"/>
        <v>17649536</v>
      </c>
      <c r="M57" s="47">
        <f t="shared" si="58"/>
        <v>3395478</v>
      </c>
      <c r="N57" s="47">
        <f t="shared" si="58"/>
        <v>2206192</v>
      </c>
      <c r="O57" s="47">
        <f t="shared" si="58"/>
        <v>23251206</v>
      </c>
      <c r="P57" s="47">
        <f t="shared" si="58"/>
        <v>38608360</v>
      </c>
      <c r="Q57" s="47">
        <f t="shared" si="58"/>
        <v>6790956</v>
      </c>
      <c r="R57" s="47">
        <f t="shared" si="58"/>
        <v>2206192</v>
      </c>
      <c r="S57" s="47">
        <f t="shared" si="58"/>
        <v>47605508</v>
      </c>
      <c r="T57" s="47">
        <f t="shared" si="58"/>
        <v>436266526.66514987</v>
      </c>
      <c r="U57" s="47">
        <f t="shared" si="58"/>
        <v>0</v>
      </c>
      <c r="V57" s="47">
        <f t="shared" si="58"/>
        <v>435992429.66514987</v>
      </c>
      <c r="W57" s="47">
        <f t="shared" si="58"/>
        <v>363000000</v>
      </c>
      <c r="X57" s="47">
        <f t="shared" si="58"/>
        <v>92400000</v>
      </c>
      <c r="Y57" s="47">
        <f t="shared" si="58"/>
        <v>38940835.681350015</v>
      </c>
      <c r="Z57" s="47">
        <f t="shared" si="58"/>
        <v>1947043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W8:W9"/>
    <mergeCell ref="X8:X9"/>
    <mergeCell ref="Y8:Y9"/>
    <mergeCell ref="Z8:Z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A57:B57"/>
    <mergeCell ref="N58:T58"/>
    <mergeCell ref="N59:T59"/>
    <mergeCell ref="N60:T60"/>
    <mergeCell ref="V8:V9"/>
    <mergeCell ref="T8:T9"/>
    <mergeCell ref="U8:U9"/>
    <mergeCell ref="J8:J9"/>
    <mergeCell ref="A11:C11"/>
    <mergeCell ref="A13:C13"/>
    <mergeCell ref="A17:C17"/>
    <mergeCell ref="A48:C48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1" workbookViewId="0">
      <selection activeCell="W8" sqref="W8:W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98" t="s">
        <v>15</v>
      </c>
      <c r="H9" s="98" t="s">
        <v>16</v>
      </c>
      <c r="I9" s="98" t="s">
        <v>17</v>
      </c>
      <c r="J9" s="102"/>
      <c r="K9" s="108"/>
      <c r="L9" s="97" t="s">
        <v>18</v>
      </c>
      <c r="M9" s="97" t="s">
        <v>19</v>
      </c>
      <c r="N9" s="97" t="s">
        <v>20</v>
      </c>
      <c r="O9" s="98" t="s">
        <v>21</v>
      </c>
      <c r="P9" s="97" t="s">
        <v>87</v>
      </c>
      <c r="Q9" s="97" t="s">
        <v>22</v>
      </c>
      <c r="R9" s="97" t="s">
        <v>20</v>
      </c>
      <c r="S9" s="98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12912497.5525</v>
      </c>
      <c r="K13" s="51">
        <f t="shared" si="2"/>
        <v>55556097.552499995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51860054.552499995</v>
      </c>
      <c r="U13" s="51">
        <f t="shared" si="2"/>
        <v>0</v>
      </c>
      <c r="V13" s="51">
        <f t="shared" si="2"/>
        <v>53366097.552499995</v>
      </c>
      <c r="W13" s="51">
        <f t="shared" si="2"/>
        <v>33000000</v>
      </c>
      <c r="X13" s="51">
        <f t="shared" si="2"/>
        <v>4400000</v>
      </c>
      <c r="Y13" s="51">
        <f t="shared" si="2"/>
        <v>12915847.552499998</v>
      </c>
      <c r="Z13" s="51">
        <f t="shared" si="2"/>
        <v>645793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4218750.3224999998</v>
      </c>
      <c r="K15" s="36">
        <f>F15+G15+H15+I15+J15</f>
        <v>17151550.322499998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16033595.322499998</v>
      </c>
      <c r="U15" s="42"/>
      <c r="V15" s="68">
        <f>K15-I15</f>
        <v>16421550.322499998</v>
      </c>
      <c r="W15" s="69">
        <v>11000000</v>
      </c>
      <c r="X15" s="69"/>
      <c r="Y15" s="69">
        <f>MAX(V15-O15-W15-X15,0)</f>
        <v>4530100.3224999979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226505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8693747.2300000004</v>
      </c>
      <c r="K16" s="36">
        <f t="shared" ref="K16" si="9">F16+G16+H16+I16+J16</f>
        <v>21670747.23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20546832.23</v>
      </c>
      <c r="U16" s="42"/>
      <c r="V16" s="68">
        <f>K16-I16</f>
        <v>20940747.23</v>
      </c>
      <c r="W16" s="69">
        <v>11000000</v>
      </c>
      <c r="X16" s="69">
        <f>4400000</f>
        <v>4400000</v>
      </c>
      <c r="Y16" s="69">
        <f t="shared" ref="Y16" si="14">MAX(V16-O16-W16-X16,0)</f>
        <v>4649297.2300000004</v>
      </c>
      <c r="Z16" s="69">
        <f t="shared" ref="Z16" si="15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232465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6">SUM(E18:E46)</f>
        <v>624</v>
      </c>
      <c r="F17" s="51">
        <f t="shared" si="16"/>
        <v>123358800</v>
      </c>
      <c r="G17" s="51">
        <f t="shared" si="16"/>
        <v>24743200</v>
      </c>
      <c r="H17" s="51">
        <f t="shared" si="16"/>
        <v>102941800</v>
      </c>
      <c r="I17" s="51">
        <f>SUM(I18:I46)</f>
        <v>17520000</v>
      </c>
      <c r="J17" s="51">
        <f t="shared" ref="J17:K17" si="17">SUM(J18:J46)</f>
        <v>80944630.400000006</v>
      </c>
      <c r="K17" s="51">
        <f t="shared" si="17"/>
        <v>349508430.40000004</v>
      </c>
      <c r="L17" s="51">
        <f t="shared" si="16"/>
        <v>11848160</v>
      </c>
      <c r="M17" s="51">
        <f t="shared" si="16"/>
        <v>2221530</v>
      </c>
      <c r="N17" s="51">
        <f t="shared" si="16"/>
        <v>1481020</v>
      </c>
      <c r="O17" s="51">
        <f t="shared" si="16"/>
        <v>15550710</v>
      </c>
      <c r="P17" s="51">
        <f t="shared" si="16"/>
        <v>25917850</v>
      </c>
      <c r="Q17" s="51">
        <f t="shared" si="16"/>
        <v>4443060</v>
      </c>
      <c r="R17" s="51">
        <f t="shared" si="16"/>
        <v>1481020</v>
      </c>
      <c r="S17" s="51">
        <f t="shared" si="16"/>
        <v>31841930</v>
      </c>
      <c r="T17" s="51">
        <f t="shared" si="16"/>
        <v>332563856.40000004</v>
      </c>
      <c r="U17" s="51">
        <f t="shared" si="16"/>
        <v>0</v>
      </c>
      <c r="V17" s="51">
        <f t="shared" si="16"/>
        <v>331988430.40000004</v>
      </c>
      <c r="W17" s="51">
        <f t="shared" si="16"/>
        <v>264000000</v>
      </c>
      <c r="X17" s="51">
        <f t="shared" si="16"/>
        <v>88000000</v>
      </c>
      <c r="Y17" s="51">
        <f t="shared" si="16"/>
        <v>27877263.780000009</v>
      </c>
      <c r="Z17" s="51">
        <f t="shared" si="16"/>
        <v>1393864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3013393.0874999999</v>
      </c>
      <c r="K19" s="36">
        <f t="shared" ref="K19:K39" si="19">F19+G19+H19+I19+J19</f>
        <v>13200593.0875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6" si="28">K19-O19-Z19</f>
        <v>12597431.0875</v>
      </c>
      <c r="U19" s="42"/>
      <c r="V19" s="68">
        <f t="shared" si="1"/>
        <v>12470593.0875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3013393.0874999999</v>
      </c>
      <c r="K20" s="36">
        <f t="shared" si="19"/>
        <v>13200593.0875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12597431.0875</v>
      </c>
      <c r="U20" s="42"/>
      <c r="V20" s="68">
        <f t="shared" si="1"/>
        <v>12470593.0875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2410714.4700000002</v>
      </c>
      <c r="K22" s="36">
        <f t="shared" si="19"/>
        <v>13969714.470000001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13366384.470000001</v>
      </c>
      <c r="U22" s="42"/>
      <c r="V22" s="68">
        <f t="shared" si="1"/>
        <v>13239714.470000001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2410714.4700000002</v>
      </c>
      <c r="K23" s="36">
        <f t="shared" si="19"/>
        <v>13969714.470000001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13284565.470000001</v>
      </c>
      <c r="U23" s="42"/>
      <c r="V23" s="68">
        <f t="shared" si="1"/>
        <v>13239714.470000001</v>
      </c>
      <c r="W23" s="69">
        <v>11000000</v>
      </c>
      <c r="X23" s="69"/>
      <c r="Y23" s="69">
        <f t="shared" si="29"/>
        <v>1636384.4700000007</v>
      </c>
      <c r="Z23" s="69">
        <f t="shared" si="30"/>
        <v>81819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2410714.4700000002</v>
      </c>
      <c r="K24" s="36">
        <f t="shared" si="19"/>
        <v>13969714.470000001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13284565.470000001</v>
      </c>
      <c r="U24" s="42"/>
      <c r="V24" s="68">
        <f t="shared" si="1"/>
        <v>13239714.470000001</v>
      </c>
      <c r="W24" s="69">
        <v>11000000</v>
      </c>
      <c r="X24" s="69"/>
      <c r="Y24" s="69">
        <f t="shared" si="29"/>
        <v>1636384.4700000007</v>
      </c>
      <c r="Z24" s="69">
        <f t="shared" si="30"/>
        <v>81819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3013393.0874999999</v>
      </c>
      <c r="K25" s="36">
        <f t="shared" si="19"/>
        <v>13732593.0875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13073571.0875</v>
      </c>
      <c r="U25" s="42"/>
      <c r="V25" s="68">
        <f t="shared" si="1"/>
        <v>13002593.0875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3725891.67</v>
      </c>
      <c r="K26" s="36">
        <f t="shared" si="19"/>
        <v>15284891.67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14533983.67</v>
      </c>
      <c r="U26" s="42"/>
      <c r="V26" s="68">
        <f t="shared" si="1"/>
        <v>14554891.67</v>
      </c>
      <c r="W26" s="69">
        <v>11000000</v>
      </c>
      <c r="X26" s="69"/>
      <c r="Y26" s="69">
        <f t="shared" si="29"/>
        <v>2951561.67</v>
      </c>
      <c r="Z26" s="69">
        <f t="shared" si="30"/>
        <v>147578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3013393.0874999999</v>
      </c>
      <c r="K27" s="36">
        <f t="shared" si="19"/>
        <v>14572393.0875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13857110.0875</v>
      </c>
      <c r="U27" s="42"/>
      <c r="V27" s="68">
        <f t="shared" si="1"/>
        <v>13842393.0875</v>
      </c>
      <c r="W27" s="69">
        <v>11000000</v>
      </c>
      <c r="X27" s="69"/>
      <c r="Y27" s="69">
        <f t="shared" si="29"/>
        <v>2239063.0875000004</v>
      </c>
      <c r="Z27" s="69">
        <f t="shared" si="30"/>
        <v>111953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3725891.67</v>
      </c>
      <c r="K28" s="36">
        <f t="shared" si="19"/>
        <v>15284891.67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14681561.67</v>
      </c>
      <c r="U28" s="42"/>
      <c r="V28" s="68">
        <f t="shared" si="1"/>
        <v>14554891.67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4967855.5600000005</v>
      </c>
      <c r="K29" s="36">
        <f t="shared" si="19"/>
        <v>15687055.560000001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15028033.560000001</v>
      </c>
      <c r="U29" s="42"/>
      <c r="V29" s="68">
        <f t="shared" si="1"/>
        <v>14957055.560000001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4967855.5600000005</v>
      </c>
      <c r="K30" s="36">
        <f t="shared" si="19"/>
        <v>15687055.560000001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15028033.560000001</v>
      </c>
      <c r="U30" s="42"/>
      <c r="V30" s="68">
        <f t="shared" si="1"/>
        <v>14957055.560000001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3725891.67</v>
      </c>
      <c r="K31" s="36">
        <f t="shared" si="19"/>
        <v>15284891.67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14681561.67</v>
      </c>
      <c r="U31" s="42"/>
      <c r="V31" s="68">
        <f t="shared" si="1"/>
        <v>14554891.67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2410714.4700000002</v>
      </c>
      <c r="K33" s="36">
        <f t="shared" si="19"/>
        <v>13969714.470000001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13284565.470000001</v>
      </c>
      <c r="U33" s="42"/>
      <c r="V33" s="68">
        <f t="shared" si="1"/>
        <v>13239714.470000001</v>
      </c>
      <c r="W33" s="69">
        <v>11000000</v>
      </c>
      <c r="X33" s="69"/>
      <c r="Y33" s="69">
        <f t="shared" si="29"/>
        <v>1636384.4700000007</v>
      </c>
      <c r="Z33" s="69">
        <f t="shared" si="30"/>
        <v>81819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7451783.3399999999</v>
      </c>
      <c r="K34" s="36">
        <f t="shared" si="19"/>
        <v>19962383.34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19129187.34</v>
      </c>
      <c r="U34" s="42"/>
      <c r="V34" s="68">
        <f t="shared" si="1"/>
        <v>19232383.34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3013393.0874999999</v>
      </c>
      <c r="K35" s="36">
        <f t="shared" si="19"/>
        <v>14044593.0875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13271670.0875</v>
      </c>
      <c r="U35" s="42"/>
      <c r="V35" s="68">
        <f t="shared" si="1"/>
        <v>13314593.0875</v>
      </c>
      <c r="W35" s="69">
        <v>11000000</v>
      </c>
      <c r="X35" s="69"/>
      <c r="Y35" s="69">
        <f t="shared" si="29"/>
        <v>1622811.0875000004</v>
      </c>
      <c r="Z35" s="69">
        <f t="shared" si="30"/>
        <v>81141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3013393.0874999999</v>
      </c>
      <c r="K36" s="36">
        <f t="shared" si="19"/>
        <v>14044593.0875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13352811.0875</v>
      </c>
      <c r="U36" s="42"/>
      <c r="V36" s="68">
        <f t="shared" si="1"/>
        <v>13314593.0875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2410714.4700000002</v>
      </c>
      <c r="K38" s="36">
        <f t="shared" si="19"/>
        <v>13441914.470000001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12699125.470000001</v>
      </c>
      <c r="U38" s="42"/>
      <c r="V38" s="68">
        <f t="shared" si="1"/>
        <v>12711914.470000001</v>
      </c>
      <c r="W38" s="69">
        <v>11000000</v>
      </c>
      <c r="X38" s="69"/>
      <c r="Y38" s="69">
        <f t="shared" si="29"/>
        <v>1020132.4700000007</v>
      </c>
      <c r="Z38" s="69">
        <f t="shared" si="30"/>
        <v>51007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2410714.4700000002</v>
      </c>
      <c r="K39" s="36">
        <f t="shared" si="19"/>
        <v>13441914.470000001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12699125.470000001</v>
      </c>
      <c r="U39" s="42"/>
      <c r="V39" s="68">
        <f t="shared" si="1"/>
        <v>12711914.470000001</v>
      </c>
      <c r="W39" s="69">
        <v>11000000</v>
      </c>
      <c r="X39" s="69"/>
      <c r="Y39" s="69">
        <f t="shared" si="29"/>
        <v>1020132.4700000007</v>
      </c>
      <c r="Z39" s="69">
        <f t="shared" si="30"/>
        <v>51007</v>
      </c>
    </row>
    <row r="40" spans="1:26" s="53" customFormat="1" ht="21.75" customHeight="1" x14ac:dyDescent="0.25">
      <c r="A40" s="29"/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24</v>
      </c>
      <c r="B42" s="30" t="s">
        <v>139</v>
      </c>
      <c r="C42" s="31" t="s">
        <v>30</v>
      </c>
      <c r="D42" s="32">
        <f t="shared" ref="D42:D46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3725891.67</v>
      </c>
      <c r="K42" s="36">
        <f t="shared" ref="K42:K46" si="32">F42+G42+H42+I42+J42</f>
        <v>15284891.67</v>
      </c>
      <c r="L42" s="37">
        <f t="shared" ref="L42:L46" si="33">D42*8%</f>
        <v>459680</v>
      </c>
      <c r="M42" s="38">
        <f t="shared" ref="M42:M46" si="34">D42*1.5%</f>
        <v>86190</v>
      </c>
      <c r="N42" s="39">
        <f t="shared" ref="N42:N46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6" si="38">D42*3%</f>
        <v>172380</v>
      </c>
      <c r="R42" s="38">
        <f t="shared" ref="R42:R46" si="39">D42*1%</f>
        <v>57460</v>
      </c>
      <c r="S42" s="40">
        <f t="shared" ref="S42:S46" si="40">P42+Q42+R42</f>
        <v>1235390</v>
      </c>
      <c r="T42" s="41">
        <f t="shared" ref="T42:T46" si="41">K42-O42-Z42</f>
        <v>14533983.67</v>
      </c>
      <c r="U42" s="42"/>
      <c r="V42" s="68">
        <f t="shared" ref="V42:V46" si="42">K42-I42</f>
        <v>14554891.67</v>
      </c>
      <c r="W42" s="69">
        <v>11000000</v>
      </c>
      <c r="X42" s="69"/>
      <c r="Y42" s="69">
        <f t="shared" ref="Y42:Y46" si="43">MAX(V42-O42-W42-X42,0)</f>
        <v>2951561.67</v>
      </c>
      <c r="Z42" s="69">
        <f t="shared" ref="Z42:Z46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147578</v>
      </c>
    </row>
    <row r="43" spans="1:26" s="53" customFormat="1" ht="21.75" customHeight="1" x14ac:dyDescent="0.25">
      <c r="A43" s="62">
        <v>25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4967855.5600000005</v>
      </c>
      <c r="K43" s="36">
        <f t="shared" si="32"/>
        <v>15999055.560000001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15128409.560000001</v>
      </c>
      <c r="U43" s="42"/>
      <c r="V43" s="68">
        <f t="shared" si="42"/>
        <v>15269055.560000001</v>
      </c>
      <c r="W43" s="69">
        <v>11000000</v>
      </c>
      <c r="X43" s="69"/>
      <c r="Y43" s="69">
        <f t="shared" si="43"/>
        <v>3577273.5600000005</v>
      </c>
      <c r="Z43" s="69">
        <f t="shared" si="44"/>
        <v>178864</v>
      </c>
    </row>
    <row r="44" spans="1:26" s="53" customFormat="1" ht="21.75" customHeight="1" x14ac:dyDescent="0.25">
      <c r="A44" s="29">
        <v>26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4967855.5600000005</v>
      </c>
      <c r="K44" s="36">
        <f t="shared" si="32"/>
        <v>15999055.560000001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15128409.560000001</v>
      </c>
      <c r="U44" s="42"/>
      <c r="V44" s="68">
        <f t="shared" si="42"/>
        <v>15269055.560000001</v>
      </c>
      <c r="W44" s="69">
        <v>11000000</v>
      </c>
      <c r="X44" s="69"/>
      <c r="Y44" s="69">
        <f t="shared" si="43"/>
        <v>3577273.5600000005</v>
      </c>
      <c r="Z44" s="69">
        <f t="shared" si="44"/>
        <v>178864</v>
      </c>
    </row>
    <row r="45" spans="1:26" s="53" customFormat="1" ht="21.75" customHeight="1" x14ac:dyDescent="0.25">
      <c r="A45" s="29">
        <v>27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4967855.5600000005</v>
      </c>
      <c r="K45" s="36">
        <f t="shared" si="32"/>
        <v>15999055.560000001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15128409.560000001</v>
      </c>
      <c r="U45" s="42"/>
      <c r="V45" s="68">
        <f t="shared" si="42"/>
        <v>15269055.560000001</v>
      </c>
      <c r="W45" s="69">
        <v>11000000</v>
      </c>
      <c r="X45" s="69"/>
      <c r="Y45" s="69">
        <f t="shared" si="43"/>
        <v>3577273.5600000005</v>
      </c>
      <c r="Z45" s="69">
        <f t="shared" si="44"/>
        <v>178864</v>
      </c>
    </row>
    <row r="46" spans="1:26" s="53" customFormat="1" ht="21.75" customHeight="1" x14ac:dyDescent="0.25">
      <c r="A46" s="29">
        <v>28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1205357.2350000001</v>
      </c>
      <c r="K46" s="36">
        <f t="shared" si="32"/>
        <v>12764357.234999999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" si="45">L46+M46+N46</f>
        <v>603330</v>
      </c>
      <c r="P46" s="38">
        <f t="shared" ref="P46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12139476.234999999</v>
      </c>
      <c r="U46" s="42"/>
      <c r="V46" s="68">
        <f t="shared" si="42"/>
        <v>12034357.234999999</v>
      </c>
      <c r="W46" s="69">
        <v>11000000</v>
      </c>
      <c r="X46" s="69"/>
      <c r="Y46" s="69">
        <f t="shared" si="43"/>
        <v>431027.2349999994</v>
      </c>
      <c r="Z46" s="69">
        <f t="shared" si="44"/>
        <v>21551</v>
      </c>
    </row>
    <row r="47" spans="1:26" s="53" customFormat="1" ht="21.75" customHeight="1" x14ac:dyDescent="0.25">
      <c r="A47" s="62"/>
      <c r="B47" s="63"/>
      <c r="C47" s="45"/>
      <c r="D47" s="32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68"/>
      <c r="W47" s="69"/>
      <c r="X47" s="69"/>
      <c r="Y47" s="69"/>
      <c r="Z47" s="69"/>
    </row>
    <row r="48" spans="1:26" s="26" customFormat="1" ht="21.75" customHeight="1" x14ac:dyDescent="0.25">
      <c r="A48" s="112" t="s">
        <v>38</v>
      </c>
      <c r="B48" s="113"/>
      <c r="C48" s="114"/>
      <c r="D48" s="51">
        <f>SUM(D49:D56)</f>
        <v>35929000</v>
      </c>
      <c r="E48" s="51">
        <f>SUM(E49:E56)</f>
        <v>130</v>
      </c>
      <c r="F48" s="51">
        <f t="shared" ref="F48:Z48" si="47">SUM(F49:F56)</f>
        <v>24476200</v>
      </c>
      <c r="G48" s="51">
        <f t="shared" si="47"/>
        <v>5706800</v>
      </c>
      <c r="H48" s="51">
        <f t="shared" si="47"/>
        <v>18917600</v>
      </c>
      <c r="I48" s="51">
        <f t="shared" si="47"/>
        <v>3650000</v>
      </c>
      <c r="J48" s="51">
        <f t="shared" si="47"/>
        <v>0</v>
      </c>
      <c r="K48" s="51">
        <f>SUM(K49:K56)</f>
        <v>52750600</v>
      </c>
      <c r="L48" s="51">
        <f t="shared" si="47"/>
        <v>2414640</v>
      </c>
      <c r="M48" s="51">
        <f t="shared" si="47"/>
        <v>538935</v>
      </c>
      <c r="N48" s="51">
        <f t="shared" si="47"/>
        <v>301830</v>
      </c>
      <c r="O48" s="51">
        <f t="shared" si="47"/>
        <v>3255405</v>
      </c>
      <c r="P48" s="51">
        <f t="shared" si="47"/>
        <v>5282025</v>
      </c>
      <c r="Q48" s="51">
        <f t="shared" si="47"/>
        <v>1077870</v>
      </c>
      <c r="R48" s="51">
        <f t="shared" si="47"/>
        <v>301830</v>
      </c>
      <c r="S48" s="51">
        <f t="shared" si="47"/>
        <v>6661725</v>
      </c>
      <c r="T48" s="51">
        <f t="shared" si="47"/>
        <v>49495195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29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30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62">
        <v>31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29">
        <v>32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62">
        <v>33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/>
      <c r="B56" s="64" t="s">
        <v>154</v>
      </c>
      <c r="C56" s="31" t="s">
        <v>155</v>
      </c>
      <c r="D56" s="32">
        <v>5746000</v>
      </c>
      <c r="E56" s="33"/>
      <c r="F56" s="34"/>
      <c r="G56" s="34"/>
      <c r="H56" s="35"/>
      <c r="I56" s="35"/>
      <c r="J56" s="35"/>
      <c r="K56" s="36">
        <f t="shared" ref="K56" si="58">F56+G56+H56+I56+J56</f>
        <v>0</v>
      </c>
      <c r="L56" s="37"/>
      <c r="M56" s="38">
        <f t="shared" ref="M56" si="59">D56*1.5%</f>
        <v>86190</v>
      </c>
      <c r="N56" s="39"/>
      <c r="O56" s="40">
        <f t="shared" ref="O56" si="60">L56+M56+N56</f>
        <v>86190</v>
      </c>
      <c r="P56" s="38"/>
      <c r="Q56" s="38">
        <f t="shared" ref="Q56" si="61">D56*3%</f>
        <v>172380</v>
      </c>
      <c r="R56" s="38"/>
      <c r="S56" s="40">
        <f t="shared" ref="S56" si="62">P56+Q56+R56</f>
        <v>172380</v>
      </c>
      <c r="T56" s="41">
        <f t="shared" si="28"/>
        <v>-86190</v>
      </c>
      <c r="U56" s="42"/>
      <c r="V56" s="68">
        <f t="shared" ref="V56" si="63">K56-I56</f>
        <v>0</v>
      </c>
      <c r="W56" s="69"/>
      <c r="X56" s="69"/>
      <c r="Y56" s="69">
        <f t="shared" ref="Y56" si="64">MAX(V56-O56-W56-X56,0)</f>
        <v>0</v>
      </c>
      <c r="Z56" s="69">
        <f t="shared" ref="Z56" si="65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 t="shared" ref="D57:Z57" si="66">D11+D13+D17+D48</f>
        <v>226246200</v>
      </c>
      <c r="E57" s="47">
        <f t="shared" si="66"/>
        <v>858</v>
      </c>
      <c r="F57" s="47">
        <f t="shared" si="66"/>
        <v>182011000</v>
      </c>
      <c r="G57" s="47">
        <f t="shared" si="66"/>
        <v>38489200</v>
      </c>
      <c r="H57" s="47">
        <f t="shared" si="66"/>
        <v>133263000</v>
      </c>
      <c r="I57" s="47">
        <f t="shared" si="66"/>
        <v>23360000</v>
      </c>
      <c r="J57" s="47">
        <f t="shared" si="66"/>
        <v>93857127.952500001</v>
      </c>
      <c r="K57" s="47">
        <f t="shared" si="66"/>
        <v>457815127.95250005</v>
      </c>
      <c r="L57" s="47">
        <f t="shared" si="66"/>
        <v>17640016</v>
      </c>
      <c r="M57" s="47">
        <f t="shared" si="66"/>
        <v>3393693</v>
      </c>
      <c r="N57" s="47">
        <f t="shared" si="66"/>
        <v>2205002</v>
      </c>
      <c r="O57" s="47">
        <f t="shared" si="66"/>
        <v>23238711</v>
      </c>
      <c r="P57" s="47">
        <f t="shared" si="66"/>
        <v>38587535</v>
      </c>
      <c r="Q57" s="47">
        <f t="shared" si="66"/>
        <v>6787386</v>
      </c>
      <c r="R57" s="47">
        <f t="shared" si="66"/>
        <v>2205002</v>
      </c>
      <c r="S57" s="47">
        <f t="shared" si="66"/>
        <v>47579923</v>
      </c>
      <c r="T57" s="47">
        <f t="shared" si="66"/>
        <v>433919105.95250005</v>
      </c>
      <c r="U57" s="47">
        <f t="shared" si="66"/>
        <v>0</v>
      </c>
      <c r="V57" s="47">
        <f t="shared" si="66"/>
        <v>434455127.95250005</v>
      </c>
      <c r="W57" s="47">
        <f t="shared" si="66"/>
        <v>352000000</v>
      </c>
      <c r="X57" s="47">
        <f t="shared" si="66"/>
        <v>92400000</v>
      </c>
      <c r="Y57" s="47">
        <f t="shared" si="66"/>
        <v>40793111.332500011</v>
      </c>
      <c r="Z57" s="47">
        <f t="shared" si="66"/>
        <v>2039657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A17:C17"/>
    <mergeCell ref="A11:C11"/>
    <mergeCell ref="T8:T9"/>
    <mergeCell ref="A13:C13"/>
    <mergeCell ref="Z8:Z9"/>
    <mergeCell ref="J8:J9"/>
    <mergeCell ref="V8:V9"/>
    <mergeCell ref="W8:W9"/>
    <mergeCell ref="X8:X9"/>
    <mergeCell ref="Y8:Y9"/>
    <mergeCell ref="U8:U9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A48:C48"/>
    <mergeCell ref="A57:B57"/>
    <mergeCell ref="N58:T58"/>
    <mergeCell ref="N59:T59"/>
    <mergeCell ref="N60:T60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pane xSplit="4" topLeftCell="E1" activePane="topRight" state="frozen"/>
      <selection activeCell="A10" sqref="A10"/>
      <selection pane="topRight" activeCell="O4" sqref="O4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13199194.477</v>
      </c>
      <c r="K13" s="51">
        <f t="shared" si="2"/>
        <v>55842794.476999998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52103739.476999998</v>
      </c>
      <c r="U13" s="51">
        <f t="shared" si="2"/>
        <v>0</v>
      </c>
      <c r="V13" s="51">
        <f t="shared" si="2"/>
        <v>53652794.476999998</v>
      </c>
      <c r="W13" s="51">
        <f t="shared" si="2"/>
        <v>33000000</v>
      </c>
      <c r="X13" s="51">
        <f t="shared" si="2"/>
        <v>4400000</v>
      </c>
      <c r="Y13" s="51">
        <f t="shared" si="2"/>
        <v>13202544.477000002</v>
      </c>
      <c r="Z13" s="51">
        <f t="shared" si="2"/>
        <v>688805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5262194.273</v>
      </c>
      <c r="K15" s="36">
        <f>F15+G15+H15+I15+J15</f>
        <v>18194994.273000002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16996190.273000002</v>
      </c>
      <c r="U15" s="42"/>
      <c r="V15" s="68">
        <f>K15-I15</f>
        <v>17464994.273000002</v>
      </c>
      <c r="W15" s="69">
        <v>11000000</v>
      </c>
      <c r="X15" s="69"/>
      <c r="Y15" s="69">
        <f>MAX(V15-O15-W15-X15,0)</f>
        <v>5573544.2730000019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307354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7937000.2039999999</v>
      </c>
      <c r="K16" s="36">
        <f t="shared" ref="K16" si="9">F16+G16+H16+I16+J16</f>
        <v>20914000.204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19827922.204</v>
      </c>
      <c r="U16" s="42"/>
      <c r="V16" s="68">
        <f t="shared" ref="V16" si="14">K16-I16</f>
        <v>20184000.204</v>
      </c>
      <c r="W16" s="69">
        <v>11000000</v>
      </c>
      <c r="X16" s="69">
        <f>4400000</f>
        <v>4400000</v>
      </c>
      <c r="Y16" s="69">
        <f t="shared" ref="Y16" si="15">MAX(V16-O16-W16-X16,0)</f>
        <v>3892550.2039999999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194628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148102000</v>
      </c>
      <c r="E17" s="51">
        <f t="shared" ref="E17:Z17" si="17">SUM(E18:E46)</f>
        <v>624</v>
      </c>
      <c r="F17" s="51">
        <f t="shared" si="17"/>
        <v>123358800</v>
      </c>
      <c r="G17" s="51">
        <f t="shared" si="17"/>
        <v>24743200</v>
      </c>
      <c r="H17" s="51">
        <f t="shared" si="17"/>
        <v>102941800</v>
      </c>
      <c r="I17" s="51">
        <f>SUM(I18:I46)</f>
        <v>17520000</v>
      </c>
      <c r="J17" s="51">
        <f t="shared" si="17"/>
        <v>85184126.719999984</v>
      </c>
      <c r="K17" s="51">
        <f>SUM(K18:K46)</f>
        <v>353747926.72000003</v>
      </c>
      <c r="L17" s="51">
        <f t="shared" si="17"/>
        <v>11848160</v>
      </c>
      <c r="M17" s="51">
        <f t="shared" si="17"/>
        <v>2221530</v>
      </c>
      <c r="N17" s="51">
        <f t="shared" si="17"/>
        <v>1481020</v>
      </c>
      <c r="O17" s="51">
        <f t="shared" si="17"/>
        <v>15550710</v>
      </c>
      <c r="P17" s="51">
        <f t="shared" si="17"/>
        <v>25917850</v>
      </c>
      <c r="Q17" s="51">
        <f t="shared" si="17"/>
        <v>4443060</v>
      </c>
      <c r="R17" s="51">
        <f t="shared" si="17"/>
        <v>1481020</v>
      </c>
      <c r="S17" s="51">
        <f t="shared" si="17"/>
        <v>31841930</v>
      </c>
      <c r="T17" s="51">
        <f t="shared" si="17"/>
        <v>336662149.72000003</v>
      </c>
      <c r="U17" s="51">
        <f t="shared" si="17"/>
        <v>0</v>
      </c>
      <c r="V17" s="51">
        <f t="shared" si="17"/>
        <v>336227926.72000003</v>
      </c>
      <c r="W17" s="51">
        <f t="shared" si="17"/>
        <v>264000000</v>
      </c>
      <c r="X17" s="51">
        <f t="shared" si="17"/>
        <v>88000000</v>
      </c>
      <c r="Y17" s="51">
        <f t="shared" si="17"/>
        <v>30701372.344000004</v>
      </c>
      <c r="Z17" s="51">
        <f t="shared" si="17"/>
        <v>1535067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3758710.1950000003</v>
      </c>
      <c r="K19" s="36">
        <f t="shared" ref="K19:K39" si="19">F19+G19+H19+I19+J19</f>
        <v>13945910.195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13342748.195</v>
      </c>
      <c r="U19" s="42"/>
      <c r="V19" s="68">
        <f t="shared" si="1"/>
        <v>13215910.195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5744400</v>
      </c>
      <c r="E20" s="33">
        <v>26</v>
      </c>
      <c r="F20" s="34">
        <v>4298400</v>
      </c>
      <c r="G20" s="34">
        <v>1446000</v>
      </c>
      <c r="H20" s="35">
        <v>3712800</v>
      </c>
      <c r="I20" s="35">
        <v>730000</v>
      </c>
      <c r="J20" s="35">
        <v>3758710.1950000003</v>
      </c>
      <c r="K20" s="36">
        <f t="shared" si="19"/>
        <v>13945910.195</v>
      </c>
      <c r="L20" s="37">
        <f t="shared" si="20"/>
        <v>459552</v>
      </c>
      <c r="M20" s="38">
        <f t="shared" si="21"/>
        <v>86166</v>
      </c>
      <c r="N20" s="39">
        <f t="shared" si="22"/>
        <v>57444</v>
      </c>
      <c r="O20" s="40">
        <f t="shared" si="23"/>
        <v>603162</v>
      </c>
      <c r="P20" s="38">
        <f t="shared" si="24"/>
        <v>1005269.9999999999</v>
      </c>
      <c r="Q20" s="38">
        <f t="shared" si="25"/>
        <v>172332</v>
      </c>
      <c r="R20" s="38">
        <f t="shared" si="26"/>
        <v>57444</v>
      </c>
      <c r="S20" s="40">
        <f t="shared" si="27"/>
        <v>1235046</v>
      </c>
      <c r="T20" s="41">
        <f t="shared" si="28"/>
        <v>13342748.195</v>
      </c>
      <c r="U20" s="42"/>
      <c r="V20" s="68">
        <f t="shared" si="1"/>
        <v>13215910.195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ref="Z20:Z54" si="30">ROUND(IF(Y20&gt;80000000,((Y20-80000000)*0.35+18150000),IF(AND(Y20&gt;52000000,Y20&lt;=80000000),((Y20-52000000)*0.3+9750000),IF(AND(Y20&gt;32000000,Y20&lt;=52000000),((Y20-32000000)*0.25+4750000),IF(AND(Y20&gt;18000000,Y20&lt;=32000000),((Y20-18000000)*0.2+1950000),IF(AND(Y20&gt;10000000,Y20&lt;=18000000),((Y20-10000000)*0.15+750000),IF(AND(Y20&gt;5000000,Y20&lt;=10000000),((Y20-5000000)*0.1+250000),(Y20*0.05))))))),0)</f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3006968.156</v>
      </c>
      <c r="K22" s="36">
        <f t="shared" si="19"/>
        <v>14565968.155999999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13962638.155999999</v>
      </c>
      <c r="U22" s="42"/>
      <c r="V22" s="68">
        <f t="shared" si="1"/>
        <v>13835968.155999999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3006968.156</v>
      </c>
      <c r="K23" s="36">
        <f t="shared" si="19"/>
        <v>14565968.155999999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13851006.155999999</v>
      </c>
      <c r="U23" s="42"/>
      <c r="V23" s="68">
        <f t="shared" si="1"/>
        <v>13835968.155999999</v>
      </c>
      <c r="W23" s="69">
        <v>11000000</v>
      </c>
      <c r="X23" s="69"/>
      <c r="Y23" s="69">
        <f t="shared" si="29"/>
        <v>2232638.1559999995</v>
      </c>
      <c r="Z23" s="69">
        <f t="shared" si="30"/>
        <v>111632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3006968.156</v>
      </c>
      <c r="K24" s="36">
        <f t="shared" si="19"/>
        <v>14565968.155999999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13851006.155999999</v>
      </c>
      <c r="U24" s="42"/>
      <c r="V24" s="68">
        <f t="shared" si="1"/>
        <v>13835968.155999999</v>
      </c>
      <c r="W24" s="69">
        <v>11000000</v>
      </c>
      <c r="X24" s="69"/>
      <c r="Y24" s="69">
        <f t="shared" si="29"/>
        <v>2232638.1559999995</v>
      </c>
      <c r="Z24" s="69">
        <f t="shared" si="30"/>
        <v>111632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3758710.1950000003</v>
      </c>
      <c r="K25" s="36">
        <f t="shared" si="19"/>
        <v>14477910.195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13818888.195</v>
      </c>
      <c r="U25" s="42"/>
      <c r="V25" s="68">
        <f>K25-I25</f>
        <v>13747910.195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3401571.5160000003</v>
      </c>
      <c r="K26" s="36">
        <f t="shared" si="19"/>
        <v>14960571.516000001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14225879.516000001</v>
      </c>
      <c r="U26" s="42"/>
      <c r="V26" s="68">
        <f t="shared" si="1"/>
        <v>14230571.516000001</v>
      </c>
      <c r="W26" s="69">
        <v>11000000</v>
      </c>
      <c r="X26" s="69"/>
      <c r="Y26" s="69">
        <f t="shared" si="29"/>
        <v>2627241.5160000008</v>
      </c>
      <c r="Z26" s="69">
        <f t="shared" si="30"/>
        <v>131362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3758710.1950000003</v>
      </c>
      <c r="K27" s="36">
        <f t="shared" si="19"/>
        <v>15317710.195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14565161.195</v>
      </c>
      <c r="U27" s="42"/>
      <c r="V27" s="68">
        <f t="shared" si="1"/>
        <v>14587710.195</v>
      </c>
      <c r="W27" s="69">
        <v>11000000</v>
      </c>
      <c r="X27" s="69"/>
      <c r="Y27" s="69">
        <f t="shared" si="29"/>
        <v>2984380.1950000003</v>
      </c>
      <c r="Z27" s="69">
        <f t="shared" si="30"/>
        <v>149219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3401571.5160000003</v>
      </c>
      <c r="K28" s="36">
        <f t="shared" si="19"/>
        <v>14960571.516000001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14357241.516000001</v>
      </c>
      <c r="U28" s="42"/>
      <c r="V28" s="68">
        <f t="shared" si="1"/>
        <v>14230571.516000001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4535428.6880000001</v>
      </c>
      <c r="K29" s="36">
        <f t="shared" si="19"/>
        <v>15254628.688000001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>K29-O29-Z29</f>
        <v>14595606.688000001</v>
      </c>
      <c r="U29" s="42"/>
      <c r="V29" s="68">
        <f t="shared" si="1"/>
        <v>14524628.688000001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4535428.6880000001</v>
      </c>
      <c r="K30" s="36">
        <f t="shared" si="19"/>
        <v>15254628.688000001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14595606.688000001</v>
      </c>
      <c r="U30" s="42"/>
      <c r="V30" s="68">
        <f t="shared" si="1"/>
        <v>14524628.688000001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3401571.5160000003</v>
      </c>
      <c r="K31" s="36">
        <f t="shared" si="19"/>
        <v>14960571.516000001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14357241.516000001</v>
      </c>
      <c r="U31" s="42"/>
      <c r="V31" s="68">
        <f t="shared" si="1"/>
        <v>14230571.516000001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3006968.156</v>
      </c>
      <c r="K33" s="36">
        <f t="shared" si="19"/>
        <v>14565968.155999999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13851006.155999999</v>
      </c>
      <c r="U33" s="42"/>
      <c r="V33" s="68">
        <f t="shared" si="1"/>
        <v>13835968.155999999</v>
      </c>
      <c r="W33" s="69">
        <v>11000000</v>
      </c>
      <c r="X33" s="69"/>
      <c r="Y33" s="69">
        <f t="shared" si="29"/>
        <v>2232638.1559999995</v>
      </c>
      <c r="Z33" s="69">
        <f t="shared" si="30"/>
        <v>111632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6803143.0320000006</v>
      </c>
      <c r="K34" s="36">
        <f t="shared" si="19"/>
        <v>19313743.032000002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18480547.032000002</v>
      </c>
      <c r="U34" s="42"/>
      <c r="V34" s="68">
        <f t="shared" si="1"/>
        <v>18583743.032000002</v>
      </c>
      <c r="W34" s="69">
        <v>11000000</v>
      </c>
      <c r="X34" s="69">
        <f>4400000*3</f>
        <v>13200000</v>
      </c>
      <c r="Y34" s="69">
        <f>MAX(V34-O34-W34-X34,0)</f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3758710.1950000003</v>
      </c>
      <c r="K35" s="36">
        <f t="shared" si="19"/>
        <v>14789910.195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13979722.195</v>
      </c>
      <c r="U35" s="42"/>
      <c r="V35" s="68">
        <f t="shared" si="1"/>
        <v>14059910.195</v>
      </c>
      <c r="W35" s="69">
        <v>11000000</v>
      </c>
      <c r="X35" s="69"/>
      <c r="Y35" s="69">
        <f t="shared" si="29"/>
        <v>2368128.1950000003</v>
      </c>
      <c r="Z35" s="69">
        <f t="shared" si="30"/>
        <v>118406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3758710.1950000003</v>
      </c>
      <c r="K36" s="36">
        <f t="shared" si="19"/>
        <v>14789910.195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14098128.195</v>
      </c>
      <c r="U36" s="42"/>
      <c r="V36" s="68">
        <f t="shared" si="1"/>
        <v>14059910.195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3006968.156</v>
      </c>
      <c r="K38" s="36">
        <f t="shared" si="19"/>
        <v>14038168.155999999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13265567.155999999</v>
      </c>
      <c r="U38" s="42"/>
      <c r="V38" s="68">
        <f t="shared" si="1"/>
        <v>13308168.155999999</v>
      </c>
      <c r="W38" s="69">
        <v>11000000</v>
      </c>
      <c r="X38" s="69"/>
      <c r="Y38" s="69">
        <f t="shared" si="29"/>
        <v>1616386.1559999995</v>
      </c>
      <c r="Z38" s="69">
        <f t="shared" si="30"/>
        <v>80819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3006968.156</v>
      </c>
      <c r="K39" s="36">
        <f t="shared" si="19"/>
        <v>14038168.155999999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13265567.155999999</v>
      </c>
      <c r="U39" s="42"/>
      <c r="V39" s="68">
        <f t="shared" si="1"/>
        <v>13308168.155999999</v>
      </c>
      <c r="W39" s="69">
        <v>11000000</v>
      </c>
      <c r="X39" s="69"/>
      <c r="Y39" s="69">
        <f t="shared" si="29"/>
        <v>1616386.1559999995</v>
      </c>
      <c r="Z39" s="69">
        <f t="shared" si="30"/>
        <v>80819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3401571.5160000003</v>
      </c>
      <c r="K42" s="36">
        <f t="shared" ref="K42:K47" si="32">F42+G42+H42+I42+J42</f>
        <v>14960571.516000001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14225879.516000001</v>
      </c>
      <c r="U42" s="42"/>
      <c r="V42" s="68">
        <f t="shared" ref="V42:V47" si="42">K42-I42</f>
        <v>14230571.516000001</v>
      </c>
      <c r="W42" s="69">
        <v>11000000</v>
      </c>
      <c r="X42" s="69"/>
      <c r="Y42" s="69">
        <f t="shared" ref="Y42:Y47" si="43">MAX(V42-O42-W42-X42,0)</f>
        <v>2627241.5160000008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131362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>
        <f t="shared" si="31"/>
        <v>6588400</v>
      </c>
      <c r="E43" s="33">
        <v>26</v>
      </c>
      <c r="F43" s="34">
        <v>5616000</v>
      </c>
      <c r="G43" s="34">
        <v>972400</v>
      </c>
      <c r="H43" s="35">
        <v>3712800</v>
      </c>
      <c r="I43" s="35">
        <v>730000</v>
      </c>
      <c r="J43" s="35">
        <v>4535428.6880000001</v>
      </c>
      <c r="K43" s="36">
        <f t="shared" si="32"/>
        <v>15566628.688000001</v>
      </c>
      <c r="L43" s="37">
        <f t="shared" si="33"/>
        <v>527072</v>
      </c>
      <c r="M43" s="38">
        <f t="shared" si="34"/>
        <v>98826</v>
      </c>
      <c r="N43" s="39">
        <f t="shared" si="35"/>
        <v>65884</v>
      </c>
      <c r="O43" s="40">
        <f>L43+M43+N43</f>
        <v>691782</v>
      </c>
      <c r="P43" s="38">
        <f>D43*17.5%</f>
        <v>1152970</v>
      </c>
      <c r="Q43" s="38">
        <f t="shared" si="38"/>
        <v>197652</v>
      </c>
      <c r="R43" s="38">
        <f t="shared" si="39"/>
        <v>65884</v>
      </c>
      <c r="S43" s="40">
        <f t="shared" si="40"/>
        <v>1416506</v>
      </c>
      <c r="T43" s="41">
        <f t="shared" si="41"/>
        <v>14717604.688000001</v>
      </c>
      <c r="U43" s="42"/>
      <c r="V43" s="68">
        <f t="shared" si="42"/>
        <v>14836628.688000001</v>
      </c>
      <c r="W43" s="69">
        <v>11000000</v>
      </c>
      <c r="X43" s="69"/>
      <c r="Y43" s="69">
        <f t="shared" si="43"/>
        <v>3144846.688000001</v>
      </c>
      <c r="Z43" s="69">
        <f t="shared" si="44"/>
        <v>157242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4535428.6880000001</v>
      </c>
      <c r="K44" s="36">
        <f t="shared" si="32"/>
        <v>15566628.688000001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14717604.688000001</v>
      </c>
      <c r="U44" s="42"/>
      <c r="V44" s="68">
        <f t="shared" si="42"/>
        <v>14836628.688000001</v>
      </c>
      <c r="W44" s="69">
        <v>11000000</v>
      </c>
      <c r="X44" s="69"/>
      <c r="Y44" s="69">
        <f t="shared" si="43"/>
        <v>3144846.688000001</v>
      </c>
      <c r="Z44" s="69">
        <f t="shared" si="44"/>
        <v>157242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4535428.6880000001</v>
      </c>
      <c r="K45" s="36">
        <f t="shared" si="32"/>
        <v>15566628.688000001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14717604.688000001</v>
      </c>
      <c r="U45" s="42"/>
      <c r="V45" s="68">
        <f t="shared" si="42"/>
        <v>14836628.688000001</v>
      </c>
      <c r="W45" s="69">
        <v>11000000</v>
      </c>
      <c r="X45" s="69"/>
      <c r="Y45" s="69">
        <f t="shared" si="43"/>
        <v>3144846.688000001</v>
      </c>
      <c r="Z45" s="69">
        <f t="shared" si="44"/>
        <v>157242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1503484.078</v>
      </c>
      <c r="K46" s="36">
        <f t="shared" si="32"/>
        <v>13062484.078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12422696.078</v>
      </c>
      <c r="U46" s="42"/>
      <c r="V46" s="68">
        <f t="shared" si="42"/>
        <v>12332484.078</v>
      </c>
      <c r="W46" s="69">
        <v>11000000</v>
      </c>
      <c r="X46" s="69"/>
      <c r="Y46" s="69">
        <f t="shared" si="43"/>
        <v>729154.07799999975</v>
      </c>
      <c r="Z46" s="69">
        <f t="shared" si="44"/>
        <v>36458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>
        <v>3006968.156</v>
      </c>
      <c r="K47" s="36">
        <f t="shared" si="32"/>
        <v>13726168.155999999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13000289.155999999</v>
      </c>
      <c r="U47" s="42"/>
      <c r="V47" s="68">
        <f t="shared" si="42"/>
        <v>12996168.155999999</v>
      </c>
      <c r="W47" s="69">
        <v>11000000</v>
      </c>
      <c r="X47" s="69"/>
      <c r="Y47" s="69">
        <f t="shared" si="43"/>
        <v>1337146.1559999995</v>
      </c>
      <c r="Z47" s="69">
        <f t="shared" si="44"/>
        <v>66857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31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32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33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34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35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220500200</v>
      </c>
      <c r="E57" s="47">
        <f t="shared" ref="E57:Z57" si="59">E11+E13+E17+E48</f>
        <v>858</v>
      </c>
      <c r="F57" s="47">
        <f t="shared" si="59"/>
        <v>182011000</v>
      </c>
      <c r="G57" s="47">
        <f t="shared" si="59"/>
        <v>38489200</v>
      </c>
      <c r="H57" s="47">
        <f t="shared" si="59"/>
        <v>133263000</v>
      </c>
      <c r="I57" s="47">
        <f t="shared" si="59"/>
        <v>23360000</v>
      </c>
      <c r="J57" s="47">
        <f t="shared" si="59"/>
        <v>98383321.196999982</v>
      </c>
      <c r="K57" s="47">
        <f t="shared" si="59"/>
        <v>462341321.19700003</v>
      </c>
      <c r="L57" s="47">
        <f t="shared" si="59"/>
        <v>17640016</v>
      </c>
      <c r="M57" s="47">
        <f t="shared" si="59"/>
        <v>3307503</v>
      </c>
      <c r="N57" s="47">
        <f t="shared" si="59"/>
        <v>2205002</v>
      </c>
      <c r="O57" s="47">
        <f t="shared" si="59"/>
        <v>23152521</v>
      </c>
      <c r="P57" s="47">
        <f t="shared" si="59"/>
        <v>38587535</v>
      </c>
      <c r="Q57" s="47">
        <f t="shared" si="59"/>
        <v>6615006</v>
      </c>
      <c r="R57" s="47">
        <f t="shared" si="59"/>
        <v>2205002</v>
      </c>
      <c r="S57" s="47">
        <f t="shared" si="59"/>
        <v>47407543</v>
      </c>
      <c r="T57" s="47">
        <f t="shared" si="59"/>
        <v>438347274.19700003</v>
      </c>
      <c r="U57" s="47">
        <f t="shared" si="59"/>
        <v>0</v>
      </c>
      <c r="V57" s="47">
        <f t="shared" si="59"/>
        <v>438981321.19700003</v>
      </c>
      <c r="W57" s="47">
        <f t="shared" si="59"/>
        <v>352000000</v>
      </c>
      <c r="X57" s="47">
        <f t="shared" si="59"/>
        <v>92400000</v>
      </c>
      <c r="Y57" s="47">
        <f t="shared" si="59"/>
        <v>43903916.82100001</v>
      </c>
      <c r="Z57" s="47">
        <f t="shared" si="59"/>
        <v>2223872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1" workbookViewId="0">
      <selection activeCell="J43" sqref="J43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17346582.449000001</v>
      </c>
      <c r="K13" s="51">
        <f t="shared" si="2"/>
        <v>59990182.449000001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55891761.449000001</v>
      </c>
      <c r="U13" s="51">
        <f t="shared" si="2"/>
        <v>0</v>
      </c>
      <c r="V13" s="51">
        <f t="shared" si="2"/>
        <v>57800182.449000001</v>
      </c>
      <c r="W13" s="51">
        <f t="shared" si="2"/>
        <v>33000000</v>
      </c>
      <c r="X13" s="51">
        <f t="shared" si="2"/>
        <v>4400000</v>
      </c>
      <c r="Y13" s="51">
        <f t="shared" si="2"/>
        <v>17349932.449000001</v>
      </c>
      <c r="Z13" s="51">
        <f t="shared" si="2"/>
        <v>1048171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6729981.0515000001</v>
      </c>
      <c r="K15" s="36">
        <f>F15+G15+H15+I15+J15</f>
        <v>19662781.0515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18317198.0515</v>
      </c>
      <c r="U15" s="42"/>
      <c r="V15" s="68">
        <f>K15-I15</f>
        <v>18932781.0515</v>
      </c>
      <c r="W15" s="69">
        <v>11000000</v>
      </c>
      <c r="X15" s="69"/>
      <c r="Y15" s="69">
        <f>MAX(V15-O15-W15-X15,0)</f>
        <v>7041331.0515000001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454133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10616601.397500001</v>
      </c>
      <c r="K16" s="36">
        <f t="shared" ref="K16" si="9">F16+G16+H16+I16+J16</f>
        <v>23593601.397500001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22294936.397500001</v>
      </c>
      <c r="U16" s="42"/>
      <c r="V16" s="68">
        <f t="shared" ref="V16" si="14">K16-I16</f>
        <v>22863601.397500001</v>
      </c>
      <c r="W16" s="69">
        <v>11000000</v>
      </c>
      <c r="X16" s="69">
        <f>4400000</f>
        <v>4400000</v>
      </c>
      <c r="Y16" s="69">
        <f t="shared" ref="Y16" si="15">MAX(V16-O16-W16-X16,0)</f>
        <v>6572151.3975000009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407215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135769200</v>
      </c>
      <c r="E17" s="51">
        <f t="shared" ref="E17:Z17" si="17">SUM(E18:E46)</f>
        <v>572</v>
      </c>
      <c r="F17" s="51">
        <f t="shared" si="17"/>
        <v>113444400</v>
      </c>
      <c r="G17" s="51">
        <f t="shared" si="17"/>
        <v>22324800</v>
      </c>
      <c r="H17" s="51">
        <f t="shared" si="17"/>
        <v>95516200</v>
      </c>
      <c r="I17" s="51">
        <f>SUM(I18:I46)</f>
        <v>16060000</v>
      </c>
      <c r="J17" s="51">
        <f t="shared" si="17"/>
        <v>100599068.73450004</v>
      </c>
      <c r="K17" s="51">
        <f>SUM(K18:K46)</f>
        <v>347944468.73449999</v>
      </c>
      <c r="L17" s="51">
        <f t="shared" si="17"/>
        <v>10861536</v>
      </c>
      <c r="M17" s="51">
        <f t="shared" si="17"/>
        <v>2036538</v>
      </c>
      <c r="N17" s="51">
        <f t="shared" si="17"/>
        <v>1357692</v>
      </c>
      <c r="O17" s="51">
        <f t="shared" si="17"/>
        <v>14255766</v>
      </c>
      <c r="P17" s="51">
        <f t="shared" si="17"/>
        <v>23759610</v>
      </c>
      <c r="Q17" s="51">
        <f t="shared" si="17"/>
        <v>4073076</v>
      </c>
      <c r="R17" s="51">
        <f t="shared" si="17"/>
        <v>1357692</v>
      </c>
      <c r="S17" s="51">
        <f t="shared" si="17"/>
        <v>29190378</v>
      </c>
      <c r="T17" s="51">
        <f t="shared" si="17"/>
        <v>331707422.73449999</v>
      </c>
      <c r="U17" s="51">
        <f t="shared" si="17"/>
        <v>0</v>
      </c>
      <c r="V17" s="51">
        <f t="shared" si="17"/>
        <v>331884468.73449999</v>
      </c>
      <c r="W17" s="51">
        <f t="shared" si="17"/>
        <v>264000000</v>
      </c>
      <c r="X17" s="51">
        <f t="shared" si="17"/>
        <v>88000000</v>
      </c>
      <c r="Y17" s="51">
        <f t="shared" si="17"/>
        <v>39625610.459000006</v>
      </c>
      <c r="Z17" s="51">
        <f t="shared" si="17"/>
        <v>1981280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4807129.3224999998</v>
      </c>
      <c r="K19" s="36">
        <f t="shared" ref="K19:K39" si="19">F19+G19+H19+I19+J19</f>
        <v>14994329.3225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14391167.3225</v>
      </c>
      <c r="U19" s="42"/>
      <c r="V19" s="68">
        <f t="shared" si="1"/>
        <v>14264329.3225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>
        <f t="shared" si="18"/>
        <v>0</v>
      </c>
      <c r="E20" s="33"/>
      <c r="F20" s="34"/>
      <c r="G20" s="34"/>
      <c r="H20" s="35"/>
      <c r="I20" s="35"/>
      <c r="J20" s="35">
        <v>0</v>
      </c>
      <c r="K20" s="36">
        <f t="shared" si="19"/>
        <v>0</v>
      </c>
      <c r="L20" s="37">
        <f t="shared" si="20"/>
        <v>0</v>
      </c>
      <c r="M20" s="38">
        <f t="shared" si="21"/>
        <v>0</v>
      </c>
      <c r="N20" s="39">
        <f t="shared" si="22"/>
        <v>0</v>
      </c>
      <c r="O20" s="40">
        <f t="shared" si="23"/>
        <v>0</v>
      </c>
      <c r="P20" s="38">
        <f t="shared" si="24"/>
        <v>0</v>
      </c>
      <c r="Q20" s="38">
        <f t="shared" si="25"/>
        <v>0</v>
      </c>
      <c r="R20" s="38">
        <f t="shared" si="26"/>
        <v>0</v>
      </c>
      <c r="S20" s="40">
        <f t="shared" si="27"/>
        <v>0</v>
      </c>
      <c r="T20" s="41">
        <f t="shared" si="28"/>
        <v>0</v>
      </c>
      <c r="U20" s="42"/>
      <c r="V20" s="68">
        <f t="shared" si="1"/>
        <v>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3845703.4580000001</v>
      </c>
      <c r="K22" s="36">
        <f t="shared" si="19"/>
        <v>15404703.458000001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14801373.458000001</v>
      </c>
      <c r="U22" s="42"/>
      <c r="V22" s="68">
        <f t="shared" si="1"/>
        <v>14674703.458000001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3845703.4580000001</v>
      </c>
      <c r="K23" s="36">
        <f t="shared" si="19"/>
        <v>15404703.458000001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14647804.458000001</v>
      </c>
      <c r="U23" s="42"/>
      <c r="V23" s="68">
        <f t="shared" si="1"/>
        <v>14674703.458000001</v>
      </c>
      <c r="W23" s="69">
        <v>11000000</v>
      </c>
      <c r="X23" s="69"/>
      <c r="Y23" s="69">
        <f t="shared" si="29"/>
        <v>3071373.4580000006</v>
      </c>
      <c r="Z23" s="69">
        <f t="shared" si="30"/>
        <v>153569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3845703.4580000001</v>
      </c>
      <c r="K24" s="36">
        <f t="shared" si="19"/>
        <v>15404703.458000001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14647804.458000001</v>
      </c>
      <c r="U24" s="42"/>
      <c r="V24" s="68">
        <f t="shared" si="1"/>
        <v>14674703.458000001</v>
      </c>
      <c r="W24" s="69">
        <v>11000000</v>
      </c>
      <c r="X24" s="69"/>
      <c r="Y24" s="69">
        <f t="shared" si="29"/>
        <v>3071373.4580000006</v>
      </c>
      <c r="Z24" s="69">
        <f t="shared" si="30"/>
        <v>153569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4807129.3224999998</v>
      </c>
      <c r="K25" s="36">
        <f t="shared" si="19"/>
        <v>15526329.3225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14867307.3225</v>
      </c>
      <c r="U25" s="42"/>
      <c r="V25" s="68">
        <f t="shared" si="1"/>
        <v>14796329.3225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4549972.0274999999</v>
      </c>
      <c r="K26" s="36">
        <f t="shared" si="19"/>
        <v>16108972.0275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15316860.0275</v>
      </c>
      <c r="U26" s="42"/>
      <c r="V26" s="68">
        <f t="shared" si="1"/>
        <v>15378972.0275</v>
      </c>
      <c r="W26" s="69">
        <v>11000000</v>
      </c>
      <c r="X26" s="69"/>
      <c r="Y26" s="69">
        <f t="shared" si="29"/>
        <v>3775642.0274999999</v>
      </c>
      <c r="Z26" s="69">
        <f t="shared" si="30"/>
        <v>188782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4807129.3224999998</v>
      </c>
      <c r="K27" s="36">
        <f t="shared" si="19"/>
        <v>16366129.3225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15561159.3225</v>
      </c>
      <c r="U27" s="42"/>
      <c r="V27" s="68">
        <f t="shared" si="1"/>
        <v>15636129.3225</v>
      </c>
      <c r="W27" s="69">
        <v>11000000</v>
      </c>
      <c r="X27" s="69"/>
      <c r="Y27" s="69">
        <f t="shared" si="29"/>
        <v>4032799.3224999998</v>
      </c>
      <c r="Z27" s="69">
        <f t="shared" si="30"/>
        <v>201640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4549972.0274999999</v>
      </c>
      <c r="K28" s="36">
        <f t="shared" si="19"/>
        <v>16108972.0275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15505642.0275</v>
      </c>
      <c r="U28" s="42"/>
      <c r="V28" s="68">
        <f t="shared" si="1"/>
        <v>15378972.0275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6066629.3700000001</v>
      </c>
      <c r="K29" s="36">
        <f t="shared" si="19"/>
        <v>16785829.370000001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16126807.370000001</v>
      </c>
      <c r="U29" s="42"/>
      <c r="V29" s="68">
        <f t="shared" si="1"/>
        <v>16055829.370000001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6066629.3700000001</v>
      </c>
      <c r="K30" s="36">
        <f t="shared" si="19"/>
        <v>16785829.370000001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16126807.370000001</v>
      </c>
      <c r="U30" s="42"/>
      <c r="V30" s="68">
        <f t="shared" si="1"/>
        <v>16055829.370000001</v>
      </c>
      <c r="W30" s="69">
        <v>11000000</v>
      </c>
      <c r="X30" s="69">
        <f>4400000</f>
        <v>4400000</v>
      </c>
      <c r="Y30" s="69">
        <f t="shared" si="29"/>
        <v>0</v>
      </c>
      <c r="Z30" s="69">
        <f t="shared" si="30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4549972.0274999999</v>
      </c>
      <c r="K31" s="36">
        <f t="shared" si="19"/>
        <v>16108972.0275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15505642.0275</v>
      </c>
      <c r="U31" s="42"/>
      <c r="V31" s="68">
        <f t="shared" si="1"/>
        <v>15378972.0275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3845703.4580000001</v>
      </c>
      <c r="K33" s="36">
        <f t="shared" si="19"/>
        <v>15404703.458000001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14647804.458000001</v>
      </c>
      <c r="U33" s="42"/>
      <c r="V33" s="68">
        <f t="shared" si="1"/>
        <v>14674703.458000001</v>
      </c>
      <c r="W33" s="69">
        <v>11000000</v>
      </c>
      <c r="X33" s="69"/>
      <c r="Y33" s="69">
        <f t="shared" si="29"/>
        <v>3071373.4580000006</v>
      </c>
      <c r="Z33" s="69">
        <f t="shared" si="30"/>
        <v>153569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9099944.0549999997</v>
      </c>
      <c r="K34" s="36">
        <f t="shared" si="19"/>
        <v>21610544.055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20777348.055</v>
      </c>
      <c r="U34" s="42"/>
      <c r="V34" s="68">
        <f t="shared" si="1"/>
        <v>20880544.055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4807129.3224999998</v>
      </c>
      <c r="K35" s="36">
        <f t="shared" si="19"/>
        <v>15838329.3225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14975720.3225</v>
      </c>
      <c r="U35" s="42"/>
      <c r="V35" s="68">
        <f t="shared" si="1"/>
        <v>15108329.3225</v>
      </c>
      <c r="W35" s="69">
        <v>11000000</v>
      </c>
      <c r="X35" s="69"/>
      <c r="Y35" s="69">
        <f t="shared" si="29"/>
        <v>3416547.3224999998</v>
      </c>
      <c r="Z35" s="69">
        <f t="shared" si="30"/>
        <v>170827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4807129.3224999998</v>
      </c>
      <c r="K36" s="36">
        <f t="shared" si="19"/>
        <v>15838329.3225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15146547.3225</v>
      </c>
      <c r="U36" s="42"/>
      <c r="V36" s="68">
        <f t="shared" si="1"/>
        <v>15108329.3225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3845703.4580000001</v>
      </c>
      <c r="K38" s="36">
        <f t="shared" si="19"/>
        <v>14876903.458000001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14062365.458000001</v>
      </c>
      <c r="U38" s="42"/>
      <c r="V38" s="68">
        <f t="shared" si="1"/>
        <v>14146903.458000001</v>
      </c>
      <c r="W38" s="69">
        <v>11000000</v>
      </c>
      <c r="X38" s="69"/>
      <c r="Y38" s="69">
        <f t="shared" si="29"/>
        <v>2455121.4580000006</v>
      </c>
      <c r="Z38" s="69">
        <f t="shared" si="30"/>
        <v>122756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3845703.4580000001</v>
      </c>
      <c r="K39" s="36">
        <f t="shared" si="19"/>
        <v>14876903.458000001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14062365.458000001</v>
      </c>
      <c r="U39" s="42"/>
      <c r="V39" s="68">
        <f t="shared" si="1"/>
        <v>14146903.458000001</v>
      </c>
      <c r="W39" s="69">
        <v>11000000</v>
      </c>
      <c r="X39" s="69"/>
      <c r="Y39" s="69">
        <f t="shared" si="29"/>
        <v>2455121.4580000006</v>
      </c>
      <c r="Z39" s="69">
        <f t="shared" si="30"/>
        <v>122756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4549972.0274999999</v>
      </c>
      <c r="K42" s="36">
        <f t="shared" ref="K42:K47" si="32">F42+G42+H42+I42+J42</f>
        <v>16108972.0275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15316860.0275</v>
      </c>
      <c r="U42" s="42"/>
      <c r="V42" s="68">
        <f t="shared" ref="V42:V47" si="42">K42-I42</f>
        <v>15378972.0275</v>
      </c>
      <c r="W42" s="69">
        <v>11000000</v>
      </c>
      <c r="X42" s="69"/>
      <c r="Y42" s="69">
        <f t="shared" ref="Y42:Y47" si="43">MAX(V42-O42-W42-X42,0)</f>
        <v>3775642.0274999999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188782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/>
      <c r="E43" s="33"/>
      <c r="F43" s="34"/>
      <c r="G43" s="34"/>
      <c r="H43" s="35"/>
      <c r="I43" s="35"/>
      <c r="J43" s="35"/>
      <c r="K43" s="36">
        <f t="shared" si="32"/>
        <v>0</v>
      </c>
      <c r="L43" s="37">
        <f t="shared" si="33"/>
        <v>0</v>
      </c>
      <c r="M43" s="38">
        <f t="shared" si="34"/>
        <v>0</v>
      </c>
      <c r="N43" s="39">
        <f t="shared" si="35"/>
        <v>0</v>
      </c>
      <c r="O43" s="40">
        <f>L43+M43+N43</f>
        <v>0</v>
      </c>
      <c r="P43" s="38">
        <f>D43*17.5%</f>
        <v>0</v>
      </c>
      <c r="Q43" s="38">
        <f t="shared" si="38"/>
        <v>0</v>
      </c>
      <c r="R43" s="38">
        <f t="shared" si="39"/>
        <v>0</v>
      </c>
      <c r="S43" s="40">
        <f t="shared" si="40"/>
        <v>0</v>
      </c>
      <c r="T43" s="41">
        <f t="shared" si="41"/>
        <v>0</v>
      </c>
      <c r="U43" s="42"/>
      <c r="V43" s="68">
        <f t="shared" si="42"/>
        <v>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6066629.3700000001</v>
      </c>
      <c r="K44" s="36">
        <f t="shared" si="32"/>
        <v>17097829.370000001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16172245.370000001</v>
      </c>
      <c r="U44" s="42"/>
      <c r="V44" s="68">
        <f t="shared" si="42"/>
        <v>16367829.370000001</v>
      </c>
      <c r="W44" s="69">
        <v>11000000</v>
      </c>
      <c r="X44" s="69"/>
      <c r="Y44" s="69">
        <f t="shared" si="43"/>
        <v>4676047.370000001</v>
      </c>
      <c r="Z44" s="69">
        <f t="shared" si="44"/>
        <v>233802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6066629.3700000001</v>
      </c>
      <c r="K45" s="36">
        <f t="shared" si="32"/>
        <v>17097829.370000001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16172245.370000001</v>
      </c>
      <c r="U45" s="42"/>
      <c r="V45" s="68">
        <f t="shared" si="42"/>
        <v>16367829.370000001</v>
      </c>
      <c r="W45" s="69">
        <v>11000000</v>
      </c>
      <c r="X45" s="69"/>
      <c r="Y45" s="69">
        <f t="shared" si="43"/>
        <v>4676047.370000001</v>
      </c>
      <c r="Z45" s="69">
        <f t="shared" si="44"/>
        <v>233802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1922851.7290000001</v>
      </c>
      <c r="K46" s="36">
        <f t="shared" si="32"/>
        <v>13481851.729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12821095.729</v>
      </c>
      <c r="U46" s="42"/>
      <c r="V46" s="68">
        <f t="shared" si="42"/>
        <v>12751851.729</v>
      </c>
      <c r="W46" s="69">
        <v>11000000</v>
      </c>
      <c r="X46" s="69"/>
      <c r="Y46" s="69">
        <f t="shared" si="43"/>
        <v>1148521.7290000003</v>
      </c>
      <c r="Z46" s="69">
        <f t="shared" si="44"/>
        <v>57426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>
        <v>3845703.4580000001</v>
      </c>
      <c r="K47" s="36">
        <f t="shared" si="32"/>
        <v>14564903.458000001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13905881.458000001</v>
      </c>
      <c r="U47" s="42"/>
      <c r="V47" s="68">
        <f t="shared" si="42"/>
        <v>13834903.458000001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208167400</v>
      </c>
      <c r="E57" s="47">
        <f t="shared" ref="E57:Z57" si="59">E11+E13+E17+E48</f>
        <v>806</v>
      </c>
      <c r="F57" s="47">
        <f t="shared" si="59"/>
        <v>172096600</v>
      </c>
      <c r="G57" s="47">
        <f t="shared" si="59"/>
        <v>36070800</v>
      </c>
      <c r="H57" s="47">
        <f t="shared" si="59"/>
        <v>125837400</v>
      </c>
      <c r="I57" s="47">
        <f t="shared" si="59"/>
        <v>21900000</v>
      </c>
      <c r="J57" s="47">
        <f t="shared" si="59"/>
        <v>117945651.18350004</v>
      </c>
      <c r="K57" s="47">
        <f t="shared" si="59"/>
        <v>460685251.18349999</v>
      </c>
      <c r="L57" s="47">
        <f t="shared" si="59"/>
        <v>16653392</v>
      </c>
      <c r="M57" s="47">
        <f t="shared" si="59"/>
        <v>3122511</v>
      </c>
      <c r="N57" s="47">
        <f t="shared" si="59"/>
        <v>2081674</v>
      </c>
      <c r="O57" s="47">
        <f t="shared" si="59"/>
        <v>21857577</v>
      </c>
      <c r="P57" s="47">
        <f t="shared" si="59"/>
        <v>36429295</v>
      </c>
      <c r="Q57" s="47">
        <f t="shared" si="59"/>
        <v>6245022</v>
      </c>
      <c r="R57" s="47">
        <f t="shared" si="59"/>
        <v>2081674</v>
      </c>
      <c r="S57" s="47">
        <f t="shared" si="59"/>
        <v>44755991</v>
      </c>
      <c r="T57" s="47">
        <f t="shared" si="59"/>
        <v>437180569.18349999</v>
      </c>
      <c r="U57" s="47">
        <f t="shared" si="59"/>
        <v>0</v>
      </c>
      <c r="V57" s="47">
        <f t="shared" si="59"/>
        <v>438785251.18349999</v>
      </c>
      <c r="W57" s="47">
        <f t="shared" si="59"/>
        <v>352000000</v>
      </c>
      <c r="X57" s="47">
        <f t="shared" si="59"/>
        <v>92400000</v>
      </c>
      <c r="Y57" s="47">
        <f t="shared" si="59"/>
        <v>56975542.908000007</v>
      </c>
      <c r="Z57" s="47">
        <f t="shared" si="59"/>
        <v>3029451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31" workbookViewId="0">
      <selection activeCell="K21" sqref="K21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105" t="s">
        <v>52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6" ht="18.75" x14ac:dyDescent="0.25">
      <c r="A6" s="106" t="s">
        <v>151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107" t="s">
        <v>3</v>
      </c>
      <c r="B8" s="107" t="s">
        <v>4</v>
      </c>
      <c r="C8" s="107" t="s">
        <v>5</v>
      </c>
      <c r="D8" s="101" t="s">
        <v>6</v>
      </c>
      <c r="E8" s="101" t="s">
        <v>7</v>
      </c>
      <c r="F8" s="101" t="s">
        <v>8</v>
      </c>
      <c r="G8" s="109" t="s">
        <v>9</v>
      </c>
      <c r="H8" s="110"/>
      <c r="I8" s="111"/>
      <c r="J8" s="101" t="s">
        <v>118</v>
      </c>
      <c r="K8" s="101" t="s">
        <v>10</v>
      </c>
      <c r="L8" s="107" t="s">
        <v>11</v>
      </c>
      <c r="M8" s="107"/>
      <c r="N8" s="107"/>
      <c r="O8" s="107"/>
      <c r="P8" s="107" t="s">
        <v>12</v>
      </c>
      <c r="Q8" s="107"/>
      <c r="R8" s="107"/>
      <c r="S8" s="107"/>
      <c r="T8" s="107" t="s">
        <v>13</v>
      </c>
      <c r="U8" s="121" t="s">
        <v>14</v>
      </c>
      <c r="V8" s="103" t="s">
        <v>110</v>
      </c>
      <c r="W8" s="121" t="s">
        <v>113</v>
      </c>
      <c r="X8" s="121" t="s">
        <v>116</v>
      </c>
      <c r="Y8" s="121" t="s">
        <v>114</v>
      </c>
      <c r="Z8" s="121" t="s">
        <v>115</v>
      </c>
    </row>
    <row r="9" spans="1:26" s="14" customFormat="1" ht="38.25" x14ac:dyDescent="0.25">
      <c r="A9" s="107"/>
      <c r="B9" s="107"/>
      <c r="C9" s="107"/>
      <c r="D9" s="108"/>
      <c r="E9" s="108"/>
      <c r="F9" s="108"/>
      <c r="G9" s="100" t="s">
        <v>15</v>
      </c>
      <c r="H9" s="100" t="s">
        <v>16</v>
      </c>
      <c r="I9" s="100" t="s">
        <v>17</v>
      </c>
      <c r="J9" s="102"/>
      <c r="K9" s="108"/>
      <c r="L9" s="99" t="s">
        <v>18</v>
      </c>
      <c r="M9" s="99" t="s">
        <v>19</v>
      </c>
      <c r="N9" s="99" t="s">
        <v>20</v>
      </c>
      <c r="O9" s="100" t="s">
        <v>21</v>
      </c>
      <c r="P9" s="99" t="s">
        <v>87</v>
      </c>
      <c r="Q9" s="99" t="s">
        <v>22</v>
      </c>
      <c r="R9" s="99" t="s">
        <v>20</v>
      </c>
      <c r="S9" s="100" t="s">
        <v>21</v>
      </c>
      <c r="T9" s="107"/>
      <c r="U9" s="122"/>
      <c r="V9" s="103"/>
      <c r="W9" s="122"/>
      <c r="X9" s="123"/>
      <c r="Y9" s="122"/>
      <c r="Z9" s="12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118" t="s">
        <v>96</v>
      </c>
      <c r="B11" s="119"/>
      <c r="C11" s="12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152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68">
        <f t="shared" ref="V12:V54" si="1">K12-I12</f>
        <v>0</v>
      </c>
      <c r="W12" s="69"/>
      <c r="X12" s="69"/>
      <c r="Y12" s="69"/>
      <c r="Z12" s="69"/>
    </row>
    <row r="13" spans="1:26" s="55" customFormat="1" ht="21.75" customHeight="1" x14ac:dyDescent="0.25">
      <c r="A13" s="118" t="s">
        <v>23</v>
      </c>
      <c r="B13" s="119"/>
      <c r="C13" s="120"/>
      <c r="D13" s="51">
        <f>SUM(D14:D16)</f>
        <v>29050000</v>
      </c>
      <c r="E13" s="51">
        <f t="shared" ref="E13:Z13" si="2">SUM(E14:E16)</f>
        <v>78</v>
      </c>
      <c r="F13" s="51">
        <f t="shared" si="2"/>
        <v>23412000</v>
      </c>
      <c r="G13" s="51">
        <f t="shared" si="2"/>
        <v>5638000</v>
      </c>
      <c r="H13" s="51">
        <f t="shared" si="2"/>
        <v>11403600</v>
      </c>
      <c r="I13" s="51">
        <f t="shared" si="2"/>
        <v>2190000</v>
      </c>
      <c r="J13" s="51">
        <f t="shared" si="2"/>
        <v>15437844.093000002</v>
      </c>
      <c r="K13" s="51">
        <f t="shared" si="2"/>
        <v>58081444.093000002</v>
      </c>
      <c r="L13" s="51">
        <f t="shared" si="2"/>
        <v>2324000</v>
      </c>
      <c r="M13" s="51">
        <f t="shared" si="2"/>
        <v>435750</v>
      </c>
      <c r="N13" s="51">
        <f t="shared" si="2"/>
        <v>290500</v>
      </c>
      <c r="O13" s="51">
        <f t="shared" si="2"/>
        <v>3050250</v>
      </c>
      <c r="P13" s="51">
        <f t="shared" si="2"/>
        <v>5083750</v>
      </c>
      <c r="Q13" s="51">
        <f t="shared" si="2"/>
        <v>871500</v>
      </c>
      <c r="R13" s="51">
        <f t="shared" si="2"/>
        <v>290500</v>
      </c>
      <c r="S13" s="51">
        <f t="shared" si="2"/>
        <v>6245750</v>
      </c>
      <c r="T13" s="51">
        <f t="shared" si="2"/>
        <v>54143483.092999995</v>
      </c>
      <c r="U13" s="51">
        <f t="shared" si="2"/>
        <v>0</v>
      </c>
      <c r="V13" s="51">
        <f t="shared" si="2"/>
        <v>55891444.092999995</v>
      </c>
      <c r="W13" s="51">
        <f t="shared" si="2"/>
        <v>33000000</v>
      </c>
      <c r="X13" s="51">
        <f t="shared" si="2"/>
        <v>4400000</v>
      </c>
      <c r="Y13" s="51">
        <f t="shared" si="2"/>
        <v>15441194.092999998</v>
      </c>
      <c r="Z13" s="51">
        <f t="shared" si="2"/>
        <v>887711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27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K14-O14-Z14</f>
        <v>15279627</v>
      </c>
      <c r="U14" s="42"/>
      <c r="V14" s="68">
        <f>K14-I14</f>
        <v>16003800</v>
      </c>
      <c r="W14" s="69">
        <v>11000000</v>
      </c>
      <c r="X14" s="69"/>
      <c r="Y14" s="69">
        <f>MAX(V14-O14-W14-X14,0)</f>
        <v>3736450</v>
      </c>
      <c r="Z14" s="69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26" customFormat="1" ht="21.75" customHeight="1" x14ac:dyDescent="0.25">
      <c r="A15" s="29">
        <v>3</v>
      </c>
      <c r="B15" s="30" t="s">
        <v>34</v>
      </c>
      <c r="C15" s="31" t="s">
        <v>25</v>
      </c>
      <c r="D15" s="32">
        <f>F15+G15</f>
        <v>8490000</v>
      </c>
      <c r="E15" s="33">
        <v>26</v>
      </c>
      <c r="F15" s="34">
        <v>6792000</v>
      </c>
      <c r="G15" s="34">
        <v>1698000</v>
      </c>
      <c r="H15" s="35">
        <v>3712800</v>
      </c>
      <c r="I15" s="35">
        <v>730000</v>
      </c>
      <c r="J15" s="35">
        <v>4080359.1780000003</v>
      </c>
      <c r="K15" s="36">
        <f>F15+G15+H15+I15+J15</f>
        <v>17013159.177999999</v>
      </c>
      <c r="L15" s="37">
        <f t="shared" ref="L15:L16" si="3">D15*8%</f>
        <v>679200</v>
      </c>
      <c r="M15" s="38">
        <f t="shared" ref="M15:M16" si="4">D15*1.5%</f>
        <v>127350</v>
      </c>
      <c r="N15" s="39">
        <f t="shared" ref="N15:N16" si="5">D15*1%</f>
        <v>84900</v>
      </c>
      <c r="O15" s="40">
        <f t="shared" ref="O15:O16" si="6">L15+M15+N15</f>
        <v>891450</v>
      </c>
      <c r="P15" s="38">
        <f>D15*17.5%</f>
        <v>1485750</v>
      </c>
      <c r="Q15" s="38">
        <f>D15*3%</f>
        <v>254700</v>
      </c>
      <c r="R15" s="38">
        <f>D15*1%</f>
        <v>84900</v>
      </c>
      <c r="S15" s="40">
        <f t="shared" ref="S15:S16" si="7">P15+Q15+R15</f>
        <v>1825350</v>
      </c>
      <c r="T15" s="41">
        <f>K15-O15-Z15</f>
        <v>15902124.177999999</v>
      </c>
      <c r="U15" s="42"/>
      <c r="V15" s="68">
        <f>K15-I15</f>
        <v>16283159.177999999</v>
      </c>
      <c r="W15" s="69">
        <v>11000000</v>
      </c>
      <c r="X15" s="69"/>
      <c r="Y15" s="69">
        <f>MAX(V15-O15-W15-X15,0)</f>
        <v>4391709.1779999994</v>
      </c>
      <c r="Z15" s="69">
        <f>ROUND(IF(Y15&gt;80000000,((Y15-80000000)*0.35+18150000),IF(AND(Y15&gt;52000000,Y15&lt;=80000000),((Y15-52000000)*0.3+9750000),IF(AND(Y15&gt;32000000,Y15&lt;=52000000),((Y15-32000000)*0.25+4750000),IF(AND(Y15&gt;18000000,Y15&lt;=32000000),((Y15-18000000)*0.2+1950000),IF(AND(Y15&gt;10000000,Y15&lt;=18000000),((Y15-10000000)*0.15+750000),IF(AND(Y15&gt;5000000,Y15&lt;=10000000),((Y15-5000000)*0.1+250000),(Y15*0.05))))))),0)</f>
        <v>219585</v>
      </c>
    </row>
    <row r="16" spans="1:26" s="26" customFormat="1" ht="21.75" customHeight="1" x14ac:dyDescent="0.25">
      <c r="A16" s="29">
        <v>4</v>
      </c>
      <c r="B16" s="30" t="s">
        <v>79</v>
      </c>
      <c r="C16" s="31" t="s">
        <v>25</v>
      </c>
      <c r="D16" s="43">
        <f t="shared" ref="D16" si="8">F16+G16</f>
        <v>8490000</v>
      </c>
      <c r="E16" s="33">
        <v>26</v>
      </c>
      <c r="F16" s="34">
        <v>6792000</v>
      </c>
      <c r="G16" s="34">
        <v>1698000</v>
      </c>
      <c r="H16" s="35">
        <v>3757000</v>
      </c>
      <c r="I16" s="35">
        <v>730000</v>
      </c>
      <c r="J16" s="35">
        <v>11357484.915000001</v>
      </c>
      <c r="K16" s="36">
        <f t="shared" ref="K16" si="9">F16+G16+H16+I16+J16</f>
        <v>24334484.914999999</v>
      </c>
      <c r="L16" s="37">
        <f t="shared" si="3"/>
        <v>679200</v>
      </c>
      <c r="M16" s="38">
        <f t="shared" si="4"/>
        <v>127350</v>
      </c>
      <c r="N16" s="39">
        <f t="shared" si="5"/>
        <v>84900</v>
      </c>
      <c r="O16" s="40">
        <f t="shared" si="6"/>
        <v>891450</v>
      </c>
      <c r="P16" s="38">
        <f t="shared" ref="P16" si="10">D16*17.5%</f>
        <v>1485750</v>
      </c>
      <c r="Q16" s="38">
        <f t="shared" ref="Q16" si="11">D16*3%</f>
        <v>254700</v>
      </c>
      <c r="R16" s="38">
        <f t="shared" ref="R16" si="12">D16*1%</f>
        <v>84900</v>
      </c>
      <c r="S16" s="40">
        <f t="shared" si="7"/>
        <v>1825350</v>
      </c>
      <c r="T16" s="41">
        <f t="shared" ref="T16" si="13">K16-O16-Z16</f>
        <v>22961731.914999999</v>
      </c>
      <c r="U16" s="42"/>
      <c r="V16" s="68">
        <f t="shared" ref="V16" si="14">K16-I16</f>
        <v>23604484.914999999</v>
      </c>
      <c r="W16" s="69">
        <v>11000000</v>
      </c>
      <c r="X16" s="69">
        <f>4400000</f>
        <v>4400000</v>
      </c>
      <c r="Y16" s="69">
        <f t="shared" ref="Y16" si="15">MAX(V16-O16-W16-X16,0)</f>
        <v>7313034.9149999991</v>
      </c>
      <c r="Z16" s="69">
        <f t="shared" ref="Z16" si="16"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481303</v>
      </c>
    </row>
    <row r="17" spans="1:26" s="53" customFormat="1" ht="21.75" customHeight="1" x14ac:dyDescent="0.25">
      <c r="A17" s="112" t="s">
        <v>28</v>
      </c>
      <c r="B17" s="113"/>
      <c r="C17" s="114"/>
      <c r="D17" s="51">
        <f>SUM(D18:D46)</f>
        <v>135769200</v>
      </c>
      <c r="E17" s="51">
        <f t="shared" ref="E17:Z17" si="17">SUM(E18:E46)</f>
        <v>624</v>
      </c>
      <c r="F17" s="51">
        <f t="shared" si="17"/>
        <v>113444400</v>
      </c>
      <c r="G17" s="51">
        <f t="shared" si="17"/>
        <v>22324800</v>
      </c>
      <c r="H17" s="51">
        <f t="shared" si="17"/>
        <v>95516200</v>
      </c>
      <c r="I17" s="51">
        <f>SUM(I18:I46)</f>
        <v>16060000</v>
      </c>
      <c r="J17" s="51">
        <f t="shared" si="17"/>
        <v>84893257.884000003</v>
      </c>
      <c r="K17" s="51">
        <f>SUM(K18:K46)</f>
        <v>332238657.88399994</v>
      </c>
      <c r="L17" s="51">
        <f t="shared" si="17"/>
        <v>10861536</v>
      </c>
      <c r="M17" s="51">
        <f t="shared" si="17"/>
        <v>2036538</v>
      </c>
      <c r="N17" s="51">
        <f t="shared" si="17"/>
        <v>1357692</v>
      </c>
      <c r="O17" s="51">
        <f t="shared" si="17"/>
        <v>14255766</v>
      </c>
      <c r="P17" s="51">
        <f t="shared" si="17"/>
        <v>23759610</v>
      </c>
      <c r="Q17" s="51">
        <f t="shared" si="17"/>
        <v>4073076</v>
      </c>
      <c r="R17" s="51">
        <f t="shared" si="17"/>
        <v>1357692</v>
      </c>
      <c r="S17" s="51">
        <f t="shared" si="17"/>
        <v>29190378</v>
      </c>
      <c r="T17" s="51">
        <f t="shared" si="17"/>
        <v>316502201.88399994</v>
      </c>
      <c r="U17" s="51">
        <f t="shared" si="17"/>
        <v>0</v>
      </c>
      <c r="V17" s="51">
        <f t="shared" si="17"/>
        <v>316178657.88399994</v>
      </c>
      <c r="W17" s="51">
        <f t="shared" si="17"/>
        <v>264000000</v>
      </c>
      <c r="X17" s="51">
        <f t="shared" si="17"/>
        <v>88000000</v>
      </c>
      <c r="Y17" s="51">
        <f t="shared" si="17"/>
        <v>29414989.737999994</v>
      </c>
      <c r="Z17" s="51">
        <f t="shared" si="17"/>
        <v>1480690</v>
      </c>
    </row>
    <row r="18" spans="1:26" s="26" customFormat="1" ht="21.75" customHeight="1" x14ac:dyDescent="0.25">
      <c r="A18" s="29"/>
      <c r="B18" s="30" t="s">
        <v>34</v>
      </c>
      <c r="C18" s="31" t="s">
        <v>29</v>
      </c>
      <c r="D18" s="32"/>
      <c r="E18" s="33"/>
      <c r="F18" s="34"/>
      <c r="G18" s="34"/>
      <c r="H18" s="35"/>
      <c r="I18" s="35"/>
      <c r="J18" s="35">
        <v>0</v>
      </c>
      <c r="K18" s="36"/>
      <c r="L18" s="37"/>
      <c r="M18" s="38"/>
      <c r="N18" s="39"/>
      <c r="O18" s="40"/>
      <c r="P18" s="38"/>
      <c r="Q18" s="38"/>
      <c r="R18" s="38"/>
      <c r="S18" s="40"/>
      <c r="T18" s="41"/>
      <c r="U18" s="42"/>
      <c r="V18" s="68"/>
      <c r="W18" s="69"/>
      <c r="X18" s="69"/>
      <c r="Y18" s="69"/>
      <c r="Z18" s="69"/>
    </row>
    <row r="19" spans="1:26" s="26" customFormat="1" ht="21.75" customHeight="1" x14ac:dyDescent="0.25">
      <c r="A19" s="29">
        <v>5</v>
      </c>
      <c r="B19" s="30" t="s">
        <v>31</v>
      </c>
      <c r="C19" s="31" t="s">
        <v>29</v>
      </c>
      <c r="D19" s="32">
        <f t="shared" ref="D19:D39" si="18">F19+G19</f>
        <v>5744400</v>
      </c>
      <c r="E19" s="33">
        <v>26</v>
      </c>
      <c r="F19" s="34">
        <v>4298400</v>
      </c>
      <c r="G19" s="34">
        <v>1446000</v>
      </c>
      <c r="H19" s="35">
        <v>3712800</v>
      </c>
      <c r="I19" s="35">
        <v>730000</v>
      </c>
      <c r="J19" s="35">
        <v>2914542.27</v>
      </c>
      <c r="K19" s="36">
        <f t="shared" ref="K19:K39" si="19">F19+G19+H19+I19+J19</f>
        <v>13101742.27</v>
      </c>
      <c r="L19" s="37">
        <f t="shared" ref="L19:L39" si="20">D19*8%</f>
        <v>459552</v>
      </c>
      <c r="M19" s="38">
        <f t="shared" ref="M19:M39" si="21">D19*1.5%</f>
        <v>86166</v>
      </c>
      <c r="N19" s="39">
        <f t="shared" ref="N19:N39" si="22">D19*1%</f>
        <v>57444</v>
      </c>
      <c r="O19" s="40">
        <f t="shared" ref="O19:O34" si="23">L19+M19+N19</f>
        <v>603162</v>
      </c>
      <c r="P19" s="38">
        <f t="shared" ref="P19:P34" si="24">D19*17.5%</f>
        <v>1005269.9999999999</v>
      </c>
      <c r="Q19" s="38">
        <f t="shared" ref="Q19:Q39" si="25">D19*3%</f>
        <v>172332</v>
      </c>
      <c r="R19" s="38">
        <f t="shared" ref="R19:R39" si="26">D19*1%</f>
        <v>57444</v>
      </c>
      <c r="S19" s="40">
        <f t="shared" ref="S19:S39" si="27">P19+Q19+R19</f>
        <v>1235046</v>
      </c>
      <c r="T19" s="41">
        <f t="shared" ref="T19:T55" si="28">K19-O19-Z19</f>
        <v>12498580.27</v>
      </c>
      <c r="U19" s="42"/>
      <c r="V19" s="68">
        <f t="shared" si="1"/>
        <v>12371742.27</v>
      </c>
      <c r="W19" s="69">
        <v>11000000</v>
      </c>
      <c r="X19" s="69">
        <f>4400000</f>
        <v>4400000</v>
      </c>
      <c r="Y19" s="69">
        <f t="shared" ref="Y19:Y54" si="29">MAX(V19-O19-W19-X19,0)</f>
        <v>0</v>
      </c>
      <c r="Z19" s="69">
        <f t="shared" ref="Z19:Z54" si="30">ROUND(IF(Y19&gt;80000000,((Y19-80000000)*0.35+18150000),IF(AND(Y19&gt;52000000,Y19&lt;=80000000),((Y19-52000000)*0.3+9750000),IF(AND(Y19&gt;32000000,Y19&lt;=52000000),((Y19-32000000)*0.25+4750000),IF(AND(Y19&gt;18000000,Y19&lt;=32000000),((Y19-18000000)*0.2+1950000),IF(AND(Y19&gt;10000000,Y19&lt;=18000000),((Y19-10000000)*0.15+750000),IF(AND(Y19&gt;5000000,Y19&lt;=10000000),((Y19-5000000)*0.1+250000),(Y19*0.05))))))),0)</f>
        <v>0</v>
      </c>
    </row>
    <row r="20" spans="1:26" s="26" customFormat="1" ht="21.75" customHeight="1" x14ac:dyDescent="0.25">
      <c r="A20" s="29">
        <v>6</v>
      </c>
      <c r="B20" s="30" t="s">
        <v>32</v>
      </c>
      <c r="C20" s="31" t="s">
        <v>29</v>
      </c>
      <c r="D20" s="32"/>
      <c r="E20" s="33">
        <v>26</v>
      </c>
      <c r="F20" s="34"/>
      <c r="G20" s="34"/>
      <c r="H20" s="35"/>
      <c r="I20" s="35"/>
      <c r="J20" s="35">
        <v>0</v>
      </c>
      <c r="K20" s="36">
        <f t="shared" si="19"/>
        <v>0</v>
      </c>
      <c r="L20" s="37">
        <f t="shared" si="20"/>
        <v>0</v>
      </c>
      <c r="M20" s="38">
        <f t="shared" si="21"/>
        <v>0</v>
      </c>
      <c r="N20" s="39">
        <f t="shared" si="22"/>
        <v>0</v>
      </c>
      <c r="O20" s="40">
        <f t="shared" si="23"/>
        <v>0</v>
      </c>
      <c r="P20" s="38">
        <f t="shared" si="24"/>
        <v>0</v>
      </c>
      <c r="Q20" s="38">
        <f t="shared" si="25"/>
        <v>0</v>
      </c>
      <c r="R20" s="38">
        <f t="shared" si="26"/>
        <v>0</v>
      </c>
      <c r="S20" s="40">
        <f t="shared" si="27"/>
        <v>0</v>
      </c>
      <c r="T20" s="41">
        <f t="shared" si="28"/>
        <v>0</v>
      </c>
      <c r="U20" s="42"/>
      <c r="V20" s="68">
        <f t="shared" si="1"/>
        <v>0</v>
      </c>
      <c r="W20" s="69">
        <v>11000000</v>
      </c>
      <c r="X20" s="69">
        <f>4400000</f>
        <v>4400000</v>
      </c>
      <c r="Y20" s="69">
        <f t="shared" si="29"/>
        <v>0</v>
      </c>
      <c r="Z20" s="69">
        <f t="shared" si="30"/>
        <v>0</v>
      </c>
    </row>
    <row r="21" spans="1:26" s="44" customFormat="1" ht="21.75" customHeight="1" x14ac:dyDescent="0.2">
      <c r="A21" s="29">
        <v>7</v>
      </c>
      <c r="B21" s="30" t="s">
        <v>35</v>
      </c>
      <c r="C21" s="31" t="s">
        <v>36</v>
      </c>
      <c r="D21" s="32">
        <f>F21+G21</f>
        <v>6270000</v>
      </c>
      <c r="E21" s="33">
        <v>26</v>
      </c>
      <c r="F21" s="34">
        <v>5016000</v>
      </c>
      <c r="G21" s="34">
        <v>1254000</v>
      </c>
      <c r="H21" s="35">
        <v>3712800</v>
      </c>
      <c r="I21" s="35">
        <v>730000</v>
      </c>
      <c r="J21" s="35">
        <v>0</v>
      </c>
      <c r="K21" s="36">
        <f t="shared" si="19"/>
        <v>10712800</v>
      </c>
      <c r="L21" s="37">
        <f>D21*8%</f>
        <v>501600</v>
      </c>
      <c r="M21" s="38">
        <f>D21*1.5%</f>
        <v>94050</v>
      </c>
      <c r="N21" s="39">
        <f>D21*1%</f>
        <v>62700</v>
      </c>
      <c r="O21" s="40">
        <f>L21+M21+N21</f>
        <v>658350</v>
      </c>
      <c r="P21" s="38">
        <f t="shared" si="24"/>
        <v>1097250</v>
      </c>
      <c r="Q21" s="38">
        <f>D21*3%</f>
        <v>188100</v>
      </c>
      <c r="R21" s="38">
        <f t="shared" si="26"/>
        <v>62700</v>
      </c>
      <c r="S21" s="40">
        <f>P21+Q21+R21</f>
        <v>1348050</v>
      </c>
      <c r="T21" s="41">
        <f t="shared" si="28"/>
        <v>10054450</v>
      </c>
      <c r="U21" s="42"/>
      <c r="V21" s="68">
        <f t="shared" si="1"/>
        <v>9982800</v>
      </c>
      <c r="W21" s="69">
        <v>11000000</v>
      </c>
      <c r="X21" s="69">
        <f>4400000*2</f>
        <v>8800000</v>
      </c>
      <c r="Y21" s="69">
        <f t="shared" si="29"/>
        <v>0</v>
      </c>
      <c r="Z21" s="69">
        <f t="shared" si="30"/>
        <v>0</v>
      </c>
    </row>
    <row r="22" spans="1:26" s="26" customFormat="1" ht="21.75" customHeight="1" x14ac:dyDescent="0.25">
      <c r="A22" s="29">
        <v>8</v>
      </c>
      <c r="B22" s="30" t="s">
        <v>51</v>
      </c>
      <c r="C22" s="45" t="s">
        <v>30</v>
      </c>
      <c r="D22" s="32">
        <f t="shared" si="1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2331633.8160000001</v>
      </c>
      <c r="K22" s="36">
        <f t="shared" si="19"/>
        <v>13890633.816</v>
      </c>
      <c r="L22" s="37">
        <f t="shared" si="20"/>
        <v>459680</v>
      </c>
      <c r="M22" s="38">
        <f t="shared" si="21"/>
        <v>86190</v>
      </c>
      <c r="N22" s="39">
        <f t="shared" si="22"/>
        <v>57460</v>
      </c>
      <c r="O22" s="40">
        <f t="shared" si="23"/>
        <v>603330</v>
      </c>
      <c r="P22" s="38">
        <f t="shared" si="24"/>
        <v>1005549.9999999999</v>
      </c>
      <c r="Q22" s="38">
        <f t="shared" si="25"/>
        <v>172380</v>
      </c>
      <c r="R22" s="38">
        <f t="shared" si="26"/>
        <v>57460</v>
      </c>
      <c r="S22" s="40">
        <f t="shared" si="27"/>
        <v>1235390</v>
      </c>
      <c r="T22" s="41">
        <f t="shared" si="28"/>
        <v>13287303.816</v>
      </c>
      <c r="U22" s="42"/>
      <c r="V22" s="68">
        <f t="shared" si="1"/>
        <v>13160633.816</v>
      </c>
      <c r="W22" s="69">
        <v>11000000</v>
      </c>
      <c r="X22" s="69">
        <f>4400000</f>
        <v>4400000</v>
      </c>
      <c r="Y22" s="69">
        <f t="shared" si="29"/>
        <v>0</v>
      </c>
      <c r="Z22" s="69">
        <f t="shared" si="30"/>
        <v>0</v>
      </c>
    </row>
    <row r="23" spans="1:26" s="26" customFormat="1" ht="21.75" customHeight="1" x14ac:dyDescent="0.25">
      <c r="A23" s="29">
        <v>9</v>
      </c>
      <c r="B23" s="30" t="s">
        <v>49</v>
      </c>
      <c r="C23" s="45" t="s">
        <v>30</v>
      </c>
      <c r="D23" s="32">
        <f t="shared" si="1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2331633.8160000001</v>
      </c>
      <c r="K23" s="36">
        <f t="shared" si="19"/>
        <v>13890633.816</v>
      </c>
      <c r="L23" s="37">
        <f t="shared" si="20"/>
        <v>459680</v>
      </c>
      <c r="M23" s="38">
        <f t="shared" si="21"/>
        <v>86190</v>
      </c>
      <c r="N23" s="39">
        <f t="shared" si="22"/>
        <v>57460</v>
      </c>
      <c r="O23" s="40">
        <f t="shared" si="23"/>
        <v>603330</v>
      </c>
      <c r="P23" s="38">
        <f t="shared" si="24"/>
        <v>1005549.9999999999</v>
      </c>
      <c r="Q23" s="38">
        <f t="shared" si="25"/>
        <v>172380</v>
      </c>
      <c r="R23" s="38">
        <f t="shared" si="26"/>
        <v>57460</v>
      </c>
      <c r="S23" s="40">
        <f t="shared" si="27"/>
        <v>1235390</v>
      </c>
      <c r="T23" s="41">
        <f t="shared" si="28"/>
        <v>13209438.816</v>
      </c>
      <c r="U23" s="42"/>
      <c r="V23" s="68">
        <f t="shared" si="1"/>
        <v>13160633.816</v>
      </c>
      <c r="W23" s="69">
        <v>11000000</v>
      </c>
      <c r="X23" s="69"/>
      <c r="Y23" s="69">
        <f t="shared" si="29"/>
        <v>1557303.8159999996</v>
      </c>
      <c r="Z23" s="69">
        <f t="shared" si="30"/>
        <v>77865</v>
      </c>
    </row>
    <row r="24" spans="1:26" s="26" customFormat="1" ht="21.75" customHeight="1" x14ac:dyDescent="0.25">
      <c r="A24" s="29">
        <v>10</v>
      </c>
      <c r="B24" s="30" t="s">
        <v>53</v>
      </c>
      <c r="C24" s="45" t="s">
        <v>30</v>
      </c>
      <c r="D24" s="32">
        <f t="shared" si="18"/>
        <v>5746000</v>
      </c>
      <c r="E24" s="33">
        <v>26</v>
      </c>
      <c r="F24" s="34">
        <v>4773600</v>
      </c>
      <c r="G24" s="34">
        <v>972400</v>
      </c>
      <c r="H24" s="35">
        <v>5083000</v>
      </c>
      <c r="I24" s="35">
        <v>730000</v>
      </c>
      <c r="J24" s="35">
        <v>2331633.8160000001</v>
      </c>
      <c r="K24" s="36">
        <f t="shared" si="19"/>
        <v>13890633.816</v>
      </c>
      <c r="L24" s="37">
        <f t="shared" si="20"/>
        <v>459680</v>
      </c>
      <c r="M24" s="38">
        <f t="shared" si="21"/>
        <v>86190</v>
      </c>
      <c r="N24" s="39">
        <f t="shared" si="22"/>
        <v>57460</v>
      </c>
      <c r="O24" s="40">
        <f t="shared" si="23"/>
        <v>603330</v>
      </c>
      <c r="P24" s="38">
        <f t="shared" si="24"/>
        <v>1005549.9999999999</v>
      </c>
      <c r="Q24" s="38">
        <f t="shared" si="25"/>
        <v>172380</v>
      </c>
      <c r="R24" s="38">
        <f t="shared" si="26"/>
        <v>57460</v>
      </c>
      <c r="S24" s="40">
        <f t="shared" si="27"/>
        <v>1235390</v>
      </c>
      <c r="T24" s="41">
        <f t="shared" si="28"/>
        <v>13209438.816</v>
      </c>
      <c r="U24" s="42"/>
      <c r="V24" s="68">
        <f t="shared" si="1"/>
        <v>13160633.816</v>
      </c>
      <c r="W24" s="69">
        <v>11000000</v>
      </c>
      <c r="X24" s="69"/>
      <c r="Y24" s="69">
        <f t="shared" si="29"/>
        <v>1557303.8159999996</v>
      </c>
      <c r="Z24" s="69">
        <f t="shared" si="30"/>
        <v>77865</v>
      </c>
    </row>
    <row r="25" spans="1:26" s="26" customFormat="1" ht="21.75" customHeight="1" x14ac:dyDescent="0.25">
      <c r="A25" s="29">
        <v>11</v>
      </c>
      <c r="B25" s="30" t="s">
        <v>78</v>
      </c>
      <c r="C25" s="31" t="s">
        <v>29</v>
      </c>
      <c r="D25" s="32">
        <f t="shared" si="18"/>
        <v>6276400</v>
      </c>
      <c r="E25" s="33">
        <v>26</v>
      </c>
      <c r="F25" s="34">
        <v>5304000</v>
      </c>
      <c r="G25" s="34">
        <v>972400</v>
      </c>
      <c r="H25" s="35">
        <v>3712800</v>
      </c>
      <c r="I25" s="35">
        <v>730000</v>
      </c>
      <c r="J25" s="35">
        <v>2914542.27</v>
      </c>
      <c r="K25" s="36">
        <f t="shared" si="19"/>
        <v>13633742.27</v>
      </c>
      <c r="L25" s="37">
        <f t="shared" si="20"/>
        <v>502112</v>
      </c>
      <c r="M25" s="38">
        <f t="shared" si="21"/>
        <v>94146</v>
      </c>
      <c r="N25" s="39">
        <f t="shared" si="22"/>
        <v>62764</v>
      </c>
      <c r="O25" s="40">
        <f t="shared" si="23"/>
        <v>659022</v>
      </c>
      <c r="P25" s="38">
        <f t="shared" si="24"/>
        <v>1098370</v>
      </c>
      <c r="Q25" s="38">
        <f t="shared" si="25"/>
        <v>188292</v>
      </c>
      <c r="R25" s="38">
        <f t="shared" si="26"/>
        <v>62764</v>
      </c>
      <c r="S25" s="40">
        <f t="shared" si="27"/>
        <v>1349426</v>
      </c>
      <c r="T25" s="41">
        <f t="shared" si="28"/>
        <v>12974720.27</v>
      </c>
      <c r="U25" s="42"/>
      <c r="V25" s="68">
        <f t="shared" si="1"/>
        <v>12903742.27</v>
      </c>
      <c r="W25" s="69">
        <v>11000000</v>
      </c>
      <c r="X25" s="69">
        <f>4400000*2</f>
        <v>8800000</v>
      </c>
      <c r="Y25" s="69">
        <f t="shared" si="29"/>
        <v>0</v>
      </c>
      <c r="Z25" s="69">
        <f t="shared" si="30"/>
        <v>0</v>
      </c>
    </row>
    <row r="26" spans="1:26" s="26" customFormat="1" ht="21.75" customHeight="1" x14ac:dyDescent="0.25">
      <c r="A26" s="29">
        <v>12</v>
      </c>
      <c r="B26" s="30" t="s">
        <v>80</v>
      </c>
      <c r="C26" s="45" t="s">
        <v>30</v>
      </c>
      <c r="D26" s="32">
        <f t="shared" si="1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4867493.5350000001</v>
      </c>
      <c r="K26" s="36">
        <f t="shared" si="19"/>
        <v>16426493.535</v>
      </c>
      <c r="L26" s="37">
        <f t="shared" si="20"/>
        <v>459680</v>
      </c>
      <c r="M26" s="38">
        <f t="shared" si="21"/>
        <v>86190</v>
      </c>
      <c r="N26" s="39">
        <f t="shared" si="22"/>
        <v>57460</v>
      </c>
      <c r="O26" s="40">
        <f t="shared" si="23"/>
        <v>603330</v>
      </c>
      <c r="P26" s="38">
        <f t="shared" si="24"/>
        <v>1005549.9999999999</v>
      </c>
      <c r="Q26" s="38">
        <f t="shared" si="25"/>
        <v>172380</v>
      </c>
      <c r="R26" s="38">
        <f t="shared" si="26"/>
        <v>57460</v>
      </c>
      <c r="S26" s="40">
        <f t="shared" si="27"/>
        <v>1235390</v>
      </c>
      <c r="T26" s="41">
        <f t="shared" si="28"/>
        <v>15618505.535</v>
      </c>
      <c r="U26" s="42"/>
      <c r="V26" s="68">
        <f t="shared" si="1"/>
        <v>15696493.535</v>
      </c>
      <c r="W26" s="69">
        <v>11000000</v>
      </c>
      <c r="X26" s="69"/>
      <c r="Y26" s="69">
        <f t="shared" si="29"/>
        <v>4093163.5350000001</v>
      </c>
      <c r="Z26" s="69">
        <f t="shared" si="30"/>
        <v>204658</v>
      </c>
    </row>
    <row r="27" spans="1:26" s="53" customFormat="1" ht="21.75" customHeight="1" x14ac:dyDescent="0.25">
      <c r="A27" s="29">
        <v>13</v>
      </c>
      <c r="B27" s="30" t="s">
        <v>86</v>
      </c>
      <c r="C27" s="31" t="s">
        <v>30</v>
      </c>
      <c r="D27" s="32">
        <f t="shared" si="1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2914542.27</v>
      </c>
      <c r="K27" s="36">
        <f t="shared" si="19"/>
        <v>14473542.27</v>
      </c>
      <c r="L27" s="37">
        <f t="shared" si="20"/>
        <v>459680</v>
      </c>
      <c r="M27" s="38">
        <f t="shared" si="21"/>
        <v>86190</v>
      </c>
      <c r="N27" s="39">
        <f t="shared" si="22"/>
        <v>57460</v>
      </c>
      <c r="O27" s="40">
        <f t="shared" si="23"/>
        <v>603330</v>
      </c>
      <c r="P27" s="38">
        <f t="shared" si="24"/>
        <v>1005549.9999999999</v>
      </c>
      <c r="Q27" s="38">
        <f t="shared" si="25"/>
        <v>172380</v>
      </c>
      <c r="R27" s="38">
        <f t="shared" si="26"/>
        <v>57460</v>
      </c>
      <c r="S27" s="40">
        <f t="shared" si="27"/>
        <v>1235390</v>
      </c>
      <c r="T27" s="41">
        <f t="shared" si="28"/>
        <v>13763201.27</v>
      </c>
      <c r="U27" s="42"/>
      <c r="V27" s="68">
        <f t="shared" si="1"/>
        <v>13743542.27</v>
      </c>
      <c r="W27" s="69">
        <v>11000000</v>
      </c>
      <c r="X27" s="69"/>
      <c r="Y27" s="69">
        <f t="shared" si="29"/>
        <v>2140212.2699999996</v>
      </c>
      <c r="Z27" s="69">
        <f t="shared" si="30"/>
        <v>107011</v>
      </c>
    </row>
    <row r="28" spans="1:26" s="53" customFormat="1" ht="21.75" customHeight="1" x14ac:dyDescent="0.25">
      <c r="A28" s="29">
        <v>14</v>
      </c>
      <c r="B28" s="30" t="s">
        <v>89</v>
      </c>
      <c r="C28" s="31" t="s">
        <v>30</v>
      </c>
      <c r="D28" s="32">
        <f t="shared" si="1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4867493.5350000001</v>
      </c>
      <c r="K28" s="36">
        <f t="shared" si="19"/>
        <v>16426493.535</v>
      </c>
      <c r="L28" s="37">
        <f t="shared" si="20"/>
        <v>459680</v>
      </c>
      <c r="M28" s="38">
        <f t="shared" si="21"/>
        <v>86190</v>
      </c>
      <c r="N28" s="39">
        <f t="shared" si="22"/>
        <v>57460</v>
      </c>
      <c r="O28" s="40">
        <f t="shared" si="23"/>
        <v>603330</v>
      </c>
      <c r="P28" s="38">
        <f t="shared" si="24"/>
        <v>1005549.9999999999</v>
      </c>
      <c r="Q28" s="38">
        <f t="shared" si="25"/>
        <v>172380</v>
      </c>
      <c r="R28" s="38">
        <f t="shared" si="26"/>
        <v>57460</v>
      </c>
      <c r="S28" s="40">
        <f t="shared" si="27"/>
        <v>1235390</v>
      </c>
      <c r="T28" s="41">
        <f t="shared" si="28"/>
        <v>15823163.535</v>
      </c>
      <c r="U28" s="42"/>
      <c r="V28" s="68">
        <f t="shared" si="1"/>
        <v>15696493.535</v>
      </c>
      <c r="W28" s="69">
        <v>11000000</v>
      </c>
      <c r="X28" s="69">
        <f>4400000*2</f>
        <v>8800000</v>
      </c>
      <c r="Y28" s="69">
        <f t="shared" si="29"/>
        <v>0</v>
      </c>
      <c r="Z28" s="69">
        <f t="shared" si="30"/>
        <v>0</v>
      </c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1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6489991.3799999999</v>
      </c>
      <c r="K29" s="36">
        <f t="shared" si="19"/>
        <v>17209191.379999999</v>
      </c>
      <c r="L29" s="37">
        <f t="shared" si="20"/>
        <v>502112</v>
      </c>
      <c r="M29" s="38">
        <f t="shared" si="21"/>
        <v>94146</v>
      </c>
      <c r="N29" s="39">
        <f t="shared" si="22"/>
        <v>62764</v>
      </c>
      <c r="O29" s="40">
        <f t="shared" si="23"/>
        <v>659022</v>
      </c>
      <c r="P29" s="38">
        <f t="shared" si="24"/>
        <v>1098370</v>
      </c>
      <c r="Q29" s="38">
        <f t="shared" si="25"/>
        <v>188292</v>
      </c>
      <c r="R29" s="38">
        <f t="shared" si="26"/>
        <v>62764</v>
      </c>
      <c r="S29" s="40">
        <f t="shared" si="27"/>
        <v>1349426</v>
      </c>
      <c r="T29" s="41">
        <f t="shared" si="28"/>
        <v>16550169.379999999</v>
      </c>
      <c r="U29" s="42"/>
      <c r="V29" s="68">
        <f t="shared" si="1"/>
        <v>16479191.379999999</v>
      </c>
      <c r="W29" s="69">
        <v>11000000</v>
      </c>
      <c r="X29" s="69">
        <f>4400000*3</f>
        <v>13200000</v>
      </c>
      <c r="Y29" s="69">
        <f t="shared" si="29"/>
        <v>0</v>
      </c>
      <c r="Z29" s="69">
        <f t="shared" si="30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1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6489991.3799999999</v>
      </c>
      <c r="K30" s="36">
        <f t="shared" si="19"/>
        <v>17209191.379999999</v>
      </c>
      <c r="L30" s="37">
        <f t="shared" si="20"/>
        <v>502112</v>
      </c>
      <c r="M30" s="38">
        <f t="shared" si="21"/>
        <v>94146</v>
      </c>
      <c r="N30" s="39">
        <f t="shared" si="22"/>
        <v>62764</v>
      </c>
      <c r="O30" s="40">
        <f t="shared" si="23"/>
        <v>659022</v>
      </c>
      <c r="P30" s="38">
        <f t="shared" si="24"/>
        <v>1098370</v>
      </c>
      <c r="Q30" s="38">
        <f t="shared" si="25"/>
        <v>188292</v>
      </c>
      <c r="R30" s="38">
        <f t="shared" si="26"/>
        <v>62764</v>
      </c>
      <c r="S30" s="40">
        <f t="shared" si="27"/>
        <v>1349426</v>
      </c>
      <c r="T30" s="41">
        <f t="shared" si="28"/>
        <v>16529161.379999999</v>
      </c>
      <c r="U30" s="42"/>
      <c r="V30" s="68">
        <f t="shared" si="1"/>
        <v>16479191.379999999</v>
      </c>
      <c r="W30" s="69">
        <v>11000000</v>
      </c>
      <c r="X30" s="69">
        <f>4400000</f>
        <v>4400000</v>
      </c>
      <c r="Y30" s="69">
        <f t="shared" si="29"/>
        <v>420169.37999999896</v>
      </c>
      <c r="Z30" s="69">
        <f t="shared" si="30"/>
        <v>21008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1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4867493.5350000001</v>
      </c>
      <c r="K31" s="36">
        <f t="shared" si="19"/>
        <v>16426493.535</v>
      </c>
      <c r="L31" s="37">
        <f t="shared" si="20"/>
        <v>459680</v>
      </c>
      <c r="M31" s="38">
        <f t="shared" si="21"/>
        <v>86190</v>
      </c>
      <c r="N31" s="39">
        <f t="shared" si="22"/>
        <v>57460</v>
      </c>
      <c r="O31" s="40">
        <f t="shared" si="23"/>
        <v>603330</v>
      </c>
      <c r="P31" s="38">
        <f t="shared" si="24"/>
        <v>1005549.9999999999</v>
      </c>
      <c r="Q31" s="38">
        <f t="shared" si="25"/>
        <v>172380</v>
      </c>
      <c r="R31" s="38">
        <f t="shared" si="26"/>
        <v>57460</v>
      </c>
      <c r="S31" s="40">
        <f t="shared" si="27"/>
        <v>1235390</v>
      </c>
      <c r="T31" s="41">
        <f t="shared" si="28"/>
        <v>15823163.535</v>
      </c>
      <c r="U31" s="42"/>
      <c r="V31" s="68">
        <f t="shared" si="1"/>
        <v>15696493.535</v>
      </c>
      <c r="W31" s="69">
        <v>11000000</v>
      </c>
      <c r="X31" s="69">
        <f>4400000*3</f>
        <v>13200000</v>
      </c>
      <c r="Y31" s="69">
        <f t="shared" si="29"/>
        <v>0</v>
      </c>
      <c r="Z31" s="69">
        <f t="shared" si="30"/>
        <v>0</v>
      </c>
    </row>
    <row r="32" spans="1:26" s="96" customFormat="1" ht="21.75" customHeight="1" x14ac:dyDescent="0.25">
      <c r="A32" s="29"/>
      <c r="B32" s="30" t="s">
        <v>95</v>
      </c>
      <c r="C32" s="30" t="s">
        <v>30</v>
      </c>
      <c r="D32" s="32"/>
      <c r="E32" s="33"/>
      <c r="F32" s="34"/>
      <c r="G32" s="34"/>
      <c r="H32" s="89"/>
      <c r="I32" s="89"/>
      <c r="J32" s="89">
        <v>0</v>
      </c>
      <c r="K32" s="90"/>
      <c r="L32" s="91"/>
      <c r="M32" s="38"/>
      <c r="N32" s="93"/>
      <c r="O32" s="40"/>
      <c r="P32" s="92"/>
      <c r="Q32" s="38"/>
      <c r="R32" s="92"/>
      <c r="S32" s="40"/>
      <c r="T32" s="41"/>
      <c r="U32" s="94"/>
      <c r="V32" s="68"/>
      <c r="W32" s="95"/>
      <c r="X32" s="95"/>
      <c r="Y32" s="95">
        <f t="shared" si="29"/>
        <v>0</v>
      </c>
      <c r="Z32" s="95">
        <f t="shared" si="30"/>
        <v>0</v>
      </c>
    </row>
    <row r="33" spans="1:26" s="53" customFormat="1" ht="21.75" customHeight="1" x14ac:dyDescent="0.25">
      <c r="A33" s="29">
        <v>18</v>
      </c>
      <c r="B33" s="63" t="s">
        <v>99</v>
      </c>
      <c r="C33" s="31" t="s">
        <v>30</v>
      </c>
      <c r="D33" s="32">
        <f t="shared" si="1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2331633.8160000001</v>
      </c>
      <c r="K33" s="36">
        <f t="shared" si="19"/>
        <v>13890633.816</v>
      </c>
      <c r="L33" s="37">
        <f t="shared" si="20"/>
        <v>459680</v>
      </c>
      <c r="M33" s="38">
        <f t="shared" si="21"/>
        <v>86190</v>
      </c>
      <c r="N33" s="39">
        <f t="shared" si="22"/>
        <v>57460</v>
      </c>
      <c r="O33" s="40">
        <f t="shared" si="23"/>
        <v>603330</v>
      </c>
      <c r="P33" s="38">
        <f t="shared" si="24"/>
        <v>1005549.9999999999</v>
      </c>
      <c r="Q33" s="38">
        <f t="shared" si="25"/>
        <v>172380</v>
      </c>
      <c r="R33" s="38">
        <f t="shared" si="26"/>
        <v>57460</v>
      </c>
      <c r="S33" s="40">
        <f t="shared" si="27"/>
        <v>1235390</v>
      </c>
      <c r="T33" s="41">
        <f t="shared" si="28"/>
        <v>13209438.816</v>
      </c>
      <c r="U33" s="42"/>
      <c r="V33" s="68">
        <f t="shared" si="1"/>
        <v>13160633.816</v>
      </c>
      <c r="W33" s="69">
        <v>11000000</v>
      </c>
      <c r="X33" s="69"/>
      <c r="Y33" s="69">
        <f t="shared" si="29"/>
        <v>1557303.8159999996</v>
      </c>
      <c r="Z33" s="69">
        <f t="shared" si="30"/>
        <v>77865</v>
      </c>
    </row>
    <row r="34" spans="1:26" s="53" customFormat="1" ht="21.75" customHeight="1" x14ac:dyDescent="0.25">
      <c r="A34" s="29">
        <v>19</v>
      </c>
      <c r="B34" s="30" t="s">
        <v>102</v>
      </c>
      <c r="C34" s="31" t="s">
        <v>112</v>
      </c>
      <c r="D34" s="32">
        <f t="shared" si="1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9734987.0700000003</v>
      </c>
      <c r="K34" s="36">
        <f t="shared" si="19"/>
        <v>22245587.07</v>
      </c>
      <c r="L34" s="37">
        <f t="shared" si="20"/>
        <v>634816</v>
      </c>
      <c r="M34" s="38">
        <f t="shared" si="21"/>
        <v>119028</v>
      </c>
      <c r="N34" s="39">
        <f t="shared" si="22"/>
        <v>79352</v>
      </c>
      <c r="O34" s="40">
        <f t="shared" si="23"/>
        <v>833196</v>
      </c>
      <c r="P34" s="38">
        <f t="shared" si="24"/>
        <v>1388660</v>
      </c>
      <c r="Q34" s="38">
        <f t="shared" si="25"/>
        <v>238056</v>
      </c>
      <c r="R34" s="38">
        <f t="shared" si="26"/>
        <v>79352</v>
      </c>
      <c r="S34" s="40">
        <f t="shared" si="27"/>
        <v>1706068</v>
      </c>
      <c r="T34" s="41">
        <f t="shared" si="28"/>
        <v>21412391.07</v>
      </c>
      <c r="U34" s="42"/>
      <c r="V34" s="68">
        <f t="shared" si="1"/>
        <v>21515587.07</v>
      </c>
      <c r="W34" s="69">
        <v>11000000</v>
      </c>
      <c r="X34" s="69">
        <f>4400000*3</f>
        <v>13200000</v>
      </c>
      <c r="Y34" s="69">
        <f t="shared" si="29"/>
        <v>0</v>
      </c>
      <c r="Z34" s="69">
        <f t="shared" si="30"/>
        <v>0</v>
      </c>
    </row>
    <row r="35" spans="1:26" s="53" customFormat="1" ht="21.75" customHeight="1" x14ac:dyDescent="0.25">
      <c r="A35" s="29">
        <v>20</v>
      </c>
      <c r="B35" s="63" t="s">
        <v>104</v>
      </c>
      <c r="C35" s="31" t="s">
        <v>29</v>
      </c>
      <c r="D35" s="32">
        <f t="shared" si="1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2914542.27</v>
      </c>
      <c r="K35" s="36">
        <f t="shared" si="19"/>
        <v>13945742.27</v>
      </c>
      <c r="L35" s="37">
        <f t="shared" si="20"/>
        <v>527072</v>
      </c>
      <c r="M35" s="38">
        <f t="shared" si="21"/>
        <v>98826</v>
      </c>
      <c r="N35" s="39">
        <f t="shared" si="22"/>
        <v>65884</v>
      </c>
      <c r="O35" s="40">
        <f>L35+M35+N35</f>
        <v>691782</v>
      </c>
      <c r="P35" s="38">
        <f>D35*17.5%</f>
        <v>1152970</v>
      </c>
      <c r="Q35" s="38">
        <f t="shared" si="25"/>
        <v>197652</v>
      </c>
      <c r="R35" s="38">
        <f t="shared" si="26"/>
        <v>65884</v>
      </c>
      <c r="S35" s="40">
        <f t="shared" si="27"/>
        <v>1416506</v>
      </c>
      <c r="T35" s="41">
        <f t="shared" si="28"/>
        <v>13177762.27</v>
      </c>
      <c r="U35" s="42"/>
      <c r="V35" s="68">
        <f t="shared" si="1"/>
        <v>13215742.27</v>
      </c>
      <c r="W35" s="69">
        <v>11000000</v>
      </c>
      <c r="X35" s="69"/>
      <c r="Y35" s="69">
        <f t="shared" si="29"/>
        <v>1523960.2699999996</v>
      </c>
      <c r="Z35" s="69">
        <f t="shared" si="30"/>
        <v>76198</v>
      </c>
    </row>
    <row r="36" spans="1:26" s="53" customFormat="1" ht="21.75" customHeight="1" x14ac:dyDescent="0.25">
      <c r="A36" s="29">
        <v>21</v>
      </c>
      <c r="B36" s="30" t="s">
        <v>109</v>
      </c>
      <c r="C36" s="31" t="s">
        <v>29</v>
      </c>
      <c r="D36" s="32">
        <f t="shared" si="1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2914542.27</v>
      </c>
      <c r="K36" s="36">
        <f t="shared" si="19"/>
        <v>13945742.27</v>
      </c>
      <c r="L36" s="37">
        <f t="shared" si="20"/>
        <v>527072</v>
      </c>
      <c r="M36" s="38">
        <f t="shared" si="21"/>
        <v>98826</v>
      </c>
      <c r="N36" s="39">
        <f t="shared" si="22"/>
        <v>65884</v>
      </c>
      <c r="O36" s="40">
        <f>L36+M36+N36</f>
        <v>691782</v>
      </c>
      <c r="P36" s="38">
        <f>D36*17.5%</f>
        <v>1152970</v>
      </c>
      <c r="Q36" s="38">
        <f t="shared" si="25"/>
        <v>197652</v>
      </c>
      <c r="R36" s="38">
        <f t="shared" si="26"/>
        <v>65884</v>
      </c>
      <c r="S36" s="40">
        <f t="shared" si="27"/>
        <v>1416506</v>
      </c>
      <c r="T36" s="41">
        <f t="shared" si="28"/>
        <v>13253960.27</v>
      </c>
      <c r="U36" s="42"/>
      <c r="V36" s="68">
        <f t="shared" si="1"/>
        <v>13215742.27</v>
      </c>
      <c r="W36" s="69">
        <v>11000000</v>
      </c>
      <c r="X36" s="69">
        <f>4400000</f>
        <v>4400000</v>
      </c>
      <c r="Y36" s="69">
        <f t="shared" si="29"/>
        <v>0</v>
      </c>
      <c r="Z36" s="69">
        <f t="shared" si="30"/>
        <v>0</v>
      </c>
    </row>
    <row r="37" spans="1:26" s="53" customFormat="1" ht="21.75" customHeight="1" x14ac:dyDescent="0.25">
      <c r="A37" s="62"/>
      <c r="B37" s="30" t="s">
        <v>119</v>
      </c>
      <c r="C37" s="31" t="s">
        <v>120</v>
      </c>
      <c r="D37" s="32"/>
      <c r="E37" s="33"/>
      <c r="F37" s="34"/>
      <c r="G37" s="34"/>
      <c r="H37" s="35"/>
      <c r="I37" s="35"/>
      <c r="J37" s="35">
        <v>0</v>
      </c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68">
        <f t="shared" si="1"/>
        <v>0</v>
      </c>
      <c r="W37" s="69"/>
      <c r="X37" s="69"/>
      <c r="Y37" s="69">
        <f t="shared" si="29"/>
        <v>0</v>
      </c>
      <c r="Z37" s="69">
        <f t="shared" si="30"/>
        <v>0</v>
      </c>
    </row>
    <row r="38" spans="1:26" s="53" customFormat="1" ht="21.75" customHeight="1" x14ac:dyDescent="0.25">
      <c r="A38" s="29">
        <v>22</v>
      </c>
      <c r="B38" s="30" t="s">
        <v>131</v>
      </c>
      <c r="C38" s="31" t="s">
        <v>29</v>
      </c>
      <c r="D38" s="32">
        <f t="shared" si="18"/>
        <v>6588400</v>
      </c>
      <c r="E38" s="33">
        <v>26</v>
      </c>
      <c r="F38" s="34">
        <v>5616000</v>
      </c>
      <c r="G38" s="34">
        <v>972400</v>
      </c>
      <c r="H38" s="35">
        <v>3712800</v>
      </c>
      <c r="I38" s="35">
        <v>730000</v>
      </c>
      <c r="J38" s="35">
        <v>2331633.8160000001</v>
      </c>
      <c r="K38" s="36">
        <f t="shared" si="19"/>
        <v>13362833.816</v>
      </c>
      <c r="L38" s="37">
        <f t="shared" si="20"/>
        <v>527072</v>
      </c>
      <c r="M38" s="38">
        <f t="shared" si="21"/>
        <v>98826</v>
      </c>
      <c r="N38" s="39">
        <f t="shared" si="22"/>
        <v>65884</v>
      </c>
      <c r="O38" s="40">
        <f>L38+M38+N38</f>
        <v>691782</v>
      </c>
      <c r="P38" s="38">
        <f>D38*17.5%</f>
        <v>1152970</v>
      </c>
      <c r="Q38" s="38">
        <f t="shared" si="25"/>
        <v>197652</v>
      </c>
      <c r="R38" s="38">
        <f t="shared" si="26"/>
        <v>65884</v>
      </c>
      <c r="S38" s="40">
        <f t="shared" si="27"/>
        <v>1416506</v>
      </c>
      <c r="T38" s="41">
        <f t="shared" si="28"/>
        <v>12623998.816</v>
      </c>
      <c r="U38" s="42"/>
      <c r="V38" s="68">
        <f t="shared" si="1"/>
        <v>12632833.816</v>
      </c>
      <c r="W38" s="69">
        <v>11000000</v>
      </c>
      <c r="X38" s="69"/>
      <c r="Y38" s="69">
        <f t="shared" si="29"/>
        <v>941051.81599999964</v>
      </c>
      <c r="Z38" s="69">
        <f t="shared" si="30"/>
        <v>47053</v>
      </c>
    </row>
    <row r="39" spans="1:26" s="53" customFormat="1" ht="21.75" customHeight="1" x14ac:dyDescent="0.25">
      <c r="A39" s="62">
        <v>23</v>
      </c>
      <c r="B39" s="30" t="s">
        <v>132</v>
      </c>
      <c r="C39" s="31" t="s">
        <v>29</v>
      </c>
      <c r="D39" s="32">
        <f t="shared" si="18"/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2331633.8160000001</v>
      </c>
      <c r="K39" s="36">
        <f t="shared" si="19"/>
        <v>13362833.816</v>
      </c>
      <c r="L39" s="37">
        <f t="shared" si="20"/>
        <v>527072</v>
      </c>
      <c r="M39" s="38">
        <f t="shared" si="21"/>
        <v>98826</v>
      </c>
      <c r="N39" s="39">
        <f t="shared" si="22"/>
        <v>65884</v>
      </c>
      <c r="O39" s="40">
        <f>L39+M39+N39</f>
        <v>691782</v>
      </c>
      <c r="P39" s="38">
        <f>D39*17.5%</f>
        <v>1152970</v>
      </c>
      <c r="Q39" s="38">
        <f t="shared" si="25"/>
        <v>197652</v>
      </c>
      <c r="R39" s="38">
        <f t="shared" si="26"/>
        <v>65884</v>
      </c>
      <c r="S39" s="40">
        <f t="shared" si="27"/>
        <v>1416506</v>
      </c>
      <c r="T39" s="41">
        <f t="shared" si="28"/>
        <v>12623998.816</v>
      </c>
      <c r="U39" s="42"/>
      <c r="V39" s="68">
        <f t="shared" si="1"/>
        <v>12632833.816</v>
      </c>
      <c r="W39" s="69">
        <v>11000000</v>
      </c>
      <c r="X39" s="69"/>
      <c r="Y39" s="69">
        <f t="shared" si="29"/>
        <v>941051.81599999964</v>
      </c>
      <c r="Z39" s="69">
        <f t="shared" si="30"/>
        <v>47053</v>
      </c>
    </row>
    <row r="40" spans="1:26" s="53" customFormat="1" ht="21.75" customHeight="1" x14ac:dyDescent="0.25">
      <c r="A40" s="29">
        <v>24</v>
      </c>
      <c r="B40" s="63" t="s">
        <v>133</v>
      </c>
      <c r="C40" s="31" t="s">
        <v>30</v>
      </c>
      <c r="D40" s="32"/>
      <c r="E40" s="33"/>
      <c r="F40" s="34"/>
      <c r="G40" s="34"/>
      <c r="H40" s="35"/>
      <c r="I40" s="35"/>
      <c r="J40" s="35">
        <v>0</v>
      </c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68"/>
      <c r="W40" s="69"/>
      <c r="X40" s="69"/>
      <c r="Y40" s="69">
        <f t="shared" si="29"/>
        <v>0</v>
      </c>
      <c r="Z40" s="69">
        <f t="shared" si="30"/>
        <v>0</v>
      </c>
    </row>
    <row r="41" spans="1:26" s="53" customFormat="1" ht="21.75" customHeight="1" x14ac:dyDescent="0.25">
      <c r="A41" s="62"/>
      <c r="B41" s="30" t="s">
        <v>134</v>
      </c>
      <c r="C41" s="31" t="s">
        <v>123</v>
      </c>
      <c r="D41" s="32"/>
      <c r="E41" s="33"/>
      <c r="F41" s="34"/>
      <c r="G41" s="34"/>
      <c r="H41" s="35"/>
      <c r="I41" s="35"/>
      <c r="J41" s="35">
        <v>0</v>
      </c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68"/>
      <c r="W41" s="69"/>
      <c r="X41" s="69"/>
      <c r="Y41" s="69"/>
      <c r="Z41" s="69"/>
    </row>
    <row r="42" spans="1:26" s="53" customFormat="1" ht="21.75" customHeight="1" x14ac:dyDescent="0.25">
      <c r="A42" s="62">
        <v>25</v>
      </c>
      <c r="B42" s="30" t="s">
        <v>139</v>
      </c>
      <c r="C42" s="31" t="s">
        <v>30</v>
      </c>
      <c r="D42" s="32">
        <f t="shared" ref="D42:D47" si="31">F42+G42</f>
        <v>5746000</v>
      </c>
      <c r="E42" s="33">
        <v>26</v>
      </c>
      <c r="F42" s="34">
        <v>4773600</v>
      </c>
      <c r="G42" s="34">
        <v>972400</v>
      </c>
      <c r="H42" s="35">
        <v>5083000</v>
      </c>
      <c r="I42" s="35">
        <v>730000</v>
      </c>
      <c r="J42" s="35">
        <v>4867493.5350000001</v>
      </c>
      <c r="K42" s="36">
        <f t="shared" ref="K42:K47" si="32">F42+G42+H42+I42+J42</f>
        <v>16426493.535</v>
      </c>
      <c r="L42" s="37">
        <f t="shared" ref="L42:L47" si="33">D42*8%</f>
        <v>459680</v>
      </c>
      <c r="M42" s="38">
        <f t="shared" ref="M42:M47" si="34">D42*1.5%</f>
        <v>86190</v>
      </c>
      <c r="N42" s="39">
        <f t="shared" ref="N42:N47" si="35">D42*1%</f>
        <v>57460</v>
      </c>
      <c r="O42" s="40">
        <f t="shared" ref="O42" si="36">L42+M42+N42</f>
        <v>603330</v>
      </c>
      <c r="P42" s="38">
        <f t="shared" ref="P42" si="37">D42*17.5%</f>
        <v>1005549.9999999999</v>
      </c>
      <c r="Q42" s="38">
        <f t="shared" ref="Q42:Q47" si="38">D42*3%</f>
        <v>172380</v>
      </c>
      <c r="R42" s="38">
        <f t="shared" ref="R42:R47" si="39">D42*1%</f>
        <v>57460</v>
      </c>
      <c r="S42" s="40">
        <f t="shared" ref="S42:S47" si="40">P42+Q42+R42</f>
        <v>1235390</v>
      </c>
      <c r="T42" s="41">
        <f t="shared" ref="T42:T47" si="41">K42-O42-Z42</f>
        <v>15618505.535</v>
      </c>
      <c r="U42" s="42"/>
      <c r="V42" s="68">
        <f t="shared" ref="V42:V47" si="42">K42-I42</f>
        <v>15696493.535</v>
      </c>
      <c r="W42" s="69">
        <v>11000000</v>
      </c>
      <c r="X42" s="69"/>
      <c r="Y42" s="69">
        <f t="shared" ref="Y42:Y47" si="43">MAX(V42-O42-W42-X42,0)</f>
        <v>4093163.5350000001</v>
      </c>
      <c r="Z42" s="69">
        <f t="shared" ref="Z42:Z47" si="44">ROUND(IF(Y42&gt;80000000,((Y42-80000000)*0.35+18150000),IF(AND(Y42&gt;52000000,Y42&lt;=80000000),((Y42-52000000)*0.3+9750000),IF(AND(Y42&gt;32000000,Y42&lt;=52000000),((Y42-32000000)*0.25+4750000),IF(AND(Y42&gt;18000000,Y42&lt;=32000000),((Y42-18000000)*0.2+1950000),IF(AND(Y42&gt;10000000,Y42&lt;=18000000),((Y42-10000000)*0.15+750000),IF(AND(Y42&gt;5000000,Y42&lt;=10000000),((Y42-5000000)*0.1+250000),(Y42*0.05))))))),0)</f>
        <v>204658</v>
      </c>
    </row>
    <row r="43" spans="1:26" s="53" customFormat="1" ht="21.75" customHeight="1" x14ac:dyDescent="0.25">
      <c r="A43" s="29">
        <v>26</v>
      </c>
      <c r="B43" s="30" t="s">
        <v>146</v>
      </c>
      <c r="C43" s="31" t="s">
        <v>29</v>
      </c>
      <c r="D43" s="32"/>
      <c r="E43" s="33">
        <v>26</v>
      </c>
      <c r="F43" s="34"/>
      <c r="G43" s="34"/>
      <c r="H43" s="35"/>
      <c r="I43" s="35"/>
      <c r="J43" s="35"/>
      <c r="K43" s="36">
        <f t="shared" si="32"/>
        <v>0</v>
      </c>
      <c r="L43" s="37">
        <f t="shared" si="33"/>
        <v>0</v>
      </c>
      <c r="M43" s="38">
        <f t="shared" si="34"/>
        <v>0</v>
      </c>
      <c r="N43" s="39">
        <f t="shared" si="35"/>
        <v>0</v>
      </c>
      <c r="O43" s="40">
        <f>L43+M43+N43</f>
        <v>0</v>
      </c>
      <c r="P43" s="38">
        <f>D43*17.5%</f>
        <v>0</v>
      </c>
      <c r="Q43" s="38">
        <f t="shared" si="38"/>
        <v>0</v>
      </c>
      <c r="R43" s="38">
        <f t="shared" si="39"/>
        <v>0</v>
      </c>
      <c r="S43" s="40">
        <f t="shared" si="40"/>
        <v>0</v>
      </c>
      <c r="T43" s="41">
        <f t="shared" si="41"/>
        <v>0</v>
      </c>
      <c r="U43" s="42"/>
      <c r="V43" s="68">
        <f t="shared" si="42"/>
        <v>0</v>
      </c>
      <c r="W43" s="69">
        <v>11000000</v>
      </c>
      <c r="X43" s="69"/>
      <c r="Y43" s="69">
        <f t="shared" si="43"/>
        <v>0</v>
      </c>
      <c r="Z43" s="69">
        <f t="shared" si="44"/>
        <v>0</v>
      </c>
    </row>
    <row r="44" spans="1:26" s="53" customFormat="1" ht="21.75" customHeight="1" x14ac:dyDescent="0.25">
      <c r="A44" s="29">
        <v>27</v>
      </c>
      <c r="B44" s="30" t="s">
        <v>147</v>
      </c>
      <c r="C44" s="31" t="s">
        <v>29</v>
      </c>
      <c r="D44" s="32">
        <f t="shared" si="31"/>
        <v>6588400</v>
      </c>
      <c r="E44" s="33">
        <v>26</v>
      </c>
      <c r="F44" s="34">
        <v>5616000</v>
      </c>
      <c r="G44" s="34">
        <v>972400</v>
      </c>
      <c r="H44" s="35">
        <v>3712800</v>
      </c>
      <c r="I44" s="35">
        <v>730000</v>
      </c>
      <c r="J44" s="35">
        <v>6489991.3799999999</v>
      </c>
      <c r="K44" s="36">
        <f t="shared" si="32"/>
        <v>17521191.379999999</v>
      </c>
      <c r="L44" s="37">
        <f t="shared" si="33"/>
        <v>527072</v>
      </c>
      <c r="M44" s="38">
        <f t="shared" si="34"/>
        <v>98826</v>
      </c>
      <c r="N44" s="39">
        <f t="shared" si="35"/>
        <v>65884</v>
      </c>
      <c r="O44" s="40">
        <f>L44+M44+N44</f>
        <v>691782</v>
      </c>
      <c r="P44" s="38">
        <f>D44*17.5%</f>
        <v>1152970</v>
      </c>
      <c r="Q44" s="38">
        <f t="shared" si="38"/>
        <v>197652</v>
      </c>
      <c r="R44" s="38">
        <f t="shared" si="39"/>
        <v>65884</v>
      </c>
      <c r="S44" s="40">
        <f t="shared" si="40"/>
        <v>1416506</v>
      </c>
      <c r="T44" s="41">
        <f t="shared" si="41"/>
        <v>16569468.379999999</v>
      </c>
      <c r="U44" s="42"/>
      <c r="V44" s="68">
        <f t="shared" si="42"/>
        <v>16791191.379999999</v>
      </c>
      <c r="W44" s="69">
        <v>11000000</v>
      </c>
      <c r="X44" s="69"/>
      <c r="Y44" s="69">
        <f t="shared" si="43"/>
        <v>5099409.379999999</v>
      </c>
      <c r="Z44" s="69">
        <f t="shared" si="44"/>
        <v>259941</v>
      </c>
    </row>
    <row r="45" spans="1:26" s="53" customFormat="1" ht="21.75" customHeight="1" x14ac:dyDescent="0.25">
      <c r="A45" s="29">
        <v>28</v>
      </c>
      <c r="B45" s="30" t="s">
        <v>148</v>
      </c>
      <c r="C45" s="31" t="s">
        <v>29</v>
      </c>
      <c r="D45" s="32">
        <f t="shared" si="31"/>
        <v>6588400</v>
      </c>
      <c r="E45" s="33">
        <v>26</v>
      </c>
      <c r="F45" s="34">
        <v>5616000</v>
      </c>
      <c r="G45" s="34">
        <v>972400</v>
      </c>
      <c r="H45" s="35">
        <v>3712800</v>
      </c>
      <c r="I45" s="35">
        <v>730000</v>
      </c>
      <c r="J45" s="35">
        <v>6489991.3799999999</v>
      </c>
      <c r="K45" s="36">
        <f t="shared" si="32"/>
        <v>17521191.379999999</v>
      </c>
      <c r="L45" s="37">
        <f t="shared" si="33"/>
        <v>527072</v>
      </c>
      <c r="M45" s="38">
        <f t="shared" si="34"/>
        <v>98826</v>
      </c>
      <c r="N45" s="39">
        <f t="shared" si="35"/>
        <v>65884</v>
      </c>
      <c r="O45" s="40">
        <f>L45+M45+N45</f>
        <v>691782</v>
      </c>
      <c r="P45" s="38">
        <f>D45*17.5%</f>
        <v>1152970</v>
      </c>
      <c r="Q45" s="38">
        <f t="shared" si="38"/>
        <v>197652</v>
      </c>
      <c r="R45" s="38">
        <f t="shared" si="39"/>
        <v>65884</v>
      </c>
      <c r="S45" s="40">
        <f t="shared" si="40"/>
        <v>1416506</v>
      </c>
      <c r="T45" s="41">
        <f t="shared" si="41"/>
        <v>16569468.379999999</v>
      </c>
      <c r="U45" s="42"/>
      <c r="V45" s="68">
        <f t="shared" si="42"/>
        <v>16791191.379999999</v>
      </c>
      <c r="W45" s="69">
        <v>11000000</v>
      </c>
      <c r="X45" s="69"/>
      <c r="Y45" s="69">
        <f t="shared" si="43"/>
        <v>5099409.379999999</v>
      </c>
      <c r="Z45" s="69">
        <f t="shared" si="44"/>
        <v>259941</v>
      </c>
    </row>
    <row r="46" spans="1:26" s="53" customFormat="1" ht="21.75" customHeight="1" x14ac:dyDescent="0.25">
      <c r="A46" s="62">
        <v>29</v>
      </c>
      <c r="B46" s="30" t="s">
        <v>149</v>
      </c>
      <c r="C46" s="31" t="s">
        <v>120</v>
      </c>
      <c r="D46" s="32">
        <f t="shared" si="31"/>
        <v>5746000</v>
      </c>
      <c r="E46" s="33">
        <v>26</v>
      </c>
      <c r="F46" s="34">
        <v>4773600</v>
      </c>
      <c r="G46" s="34">
        <v>972400</v>
      </c>
      <c r="H46" s="35">
        <v>5083000</v>
      </c>
      <c r="I46" s="35">
        <v>730000</v>
      </c>
      <c r="J46" s="35">
        <v>1165816.9080000001</v>
      </c>
      <c r="K46" s="36">
        <f t="shared" si="32"/>
        <v>12724816.908</v>
      </c>
      <c r="L46" s="37">
        <f t="shared" si="33"/>
        <v>459680</v>
      </c>
      <c r="M46" s="38">
        <f t="shared" si="34"/>
        <v>86190</v>
      </c>
      <c r="N46" s="39">
        <f t="shared" si="35"/>
        <v>57460</v>
      </c>
      <c r="O46" s="40">
        <f t="shared" ref="O46:O47" si="45">L46+M46+N46</f>
        <v>603330</v>
      </c>
      <c r="P46" s="38">
        <f t="shared" ref="P46:P47" si="46">D46*17.5%</f>
        <v>1005549.9999999999</v>
      </c>
      <c r="Q46" s="38">
        <f t="shared" si="38"/>
        <v>172380</v>
      </c>
      <c r="R46" s="38">
        <f t="shared" si="39"/>
        <v>57460</v>
      </c>
      <c r="S46" s="40">
        <f t="shared" si="40"/>
        <v>1235390</v>
      </c>
      <c r="T46" s="41">
        <f t="shared" si="41"/>
        <v>12101912.908</v>
      </c>
      <c r="U46" s="42"/>
      <c r="V46" s="68">
        <f t="shared" si="42"/>
        <v>11994816.908</v>
      </c>
      <c r="W46" s="69">
        <v>11000000</v>
      </c>
      <c r="X46" s="69"/>
      <c r="Y46" s="69">
        <f t="shared" si="43"/>
        <v>391486.90799999982</v>
      </c>
      <c r="Z46" s="69">
        <f t="shared" si="44"/>
        <v>19574</v>
      </c>
    </row>
    <row r="47" spans="1:26" s="53" customFormat="1" ht="21.75" customHeight="1" x14ac:dyDescent="0.25">
      <c r="A47" s="29">
        <v>30</v>
      </c>
      <c r="B47" s="30" t="s">
        <v>153</v>
      </c>
      <c r="C47" s="31" t="s">
        <v>29</v>
      </c>
      <c r="D47" s="32">
        <f t="shared" si="31"/>
        <v>6276400</v>
      </c>
      <c r="E47" s="33">
        <v>26</v>
      </c>
      <c r="F47" s="34">
        <v>5304000</v>
      </c>
      <c r="G47" s="34">
        <v>972400</v>
      </c>
      <c r="H47" s="35">
        <v>3712800</v>
      </c>
      <c r="I47" s="35">
        <v>730000</v>
      </c>
      <c r="J47" s="35">
        <v>2331633.8160000001</v>
      </c>
      <c r="K47" s="36">
        <f t="shared" si="32"/>
        <v>13050833.816</v>
      </c>
      <c r="L47" s="37">
        <f t="shared" si="33"/>
        <v>502112</v>
      </c>
      <c r="M47" s="38">
        <f t="shared" si="34"/>
        <v>94146</v>
      </c>
      <c r="N47" s="39">
        <f t="shared" si="35"/>
        <v>62764</v>
      </c>
      <c r="O47" s="40">
        <f t="shared" si="45"/>
        <v>659022</v>
      </c>
      <c r="P47" s="38">
        <f t="shared" si="46"/>
        <v>1098370</v>
      </c>
      <c r="Q47" s="38">
        <f t="shared" si="38"/>
        <v>188292</v>
      </c>
      <c r="R47" s="38">
        <f t="shared" si="39"/>
        <v>62764</v>
      </c>
      <c r="S47" s="40">
        <f t="shared" si="40"/>
        <v>1349426</v>
      </c>
      <c r="T47" s="41">
        <f t="shared" si="41"/>
        <v>12391811.816</v>
      </c>
      <c r="U47" s="42"/>
      <c r="V47" s="68">
        <f t="shared" si="42"/>
        <v>12320833.816</v>
      </c>
      <c r="W47" s="69">
        <v>11000000</v>
      </c>
      <c r="X47" s="69">
        <f>4400000</f>
        <v>4400000</v>
      </c>
      <c r="Y47" s="69">
        <f t="shared" si="43"/>
        <v>0</v>
      </c>
      <c r="Z47" s="69">
        <f t="shared" si="44"/>
        <v>0</v>
      </c>
    </row>
    <row r="48" spans="1:26" s="26" customFormat="1" ht="21.75" customHeight="1" x14ac:dyDescent="0.25">
      <c r="A48" s="112" t="s">
        <v>38</v>
      </c>
      <c r="B48" s="113"/>
      <c r="C48" s="114"/>
      <c r="D48" s="51">
        <f>SUM(D49:D55)</f>
        <v>30183000</v>
      </c>
      <c r="E48" s="51">
        <f t="shared" ref="E48:Z48" si="47">SUM(E49:E55)</f>
        <v>130</v>
      </c>
      <c r="F48" s="51">
        <f t="shared" si="47"/>
        <v>24476200</v>
      </c>
      <c r="G48" s="51">
        <f t="shared" si="47"/>
        <v>5706800</v>
      </c>
      <c r="H48" s="51">
        <f t="shared" si="47"/>
        <v>18917600</v>
      </c>
      <c r="I48" s="51">
        <f>SUM(I49:I55)</f>
        <v>3650000</v>
      </c>
      <c r="J48" s="51">
        <f t="shared" si="47"/>
        <v>0</v>
      </c>
      <c r="K48" s="51">
        <f t="shared" si="47"/>
        <v>52750600</v>
      </c>
      <c r="L48" s="51">
        <f t="shared" si="47"/>
        <v>2414640</v>
      </c>
      <c r="M48" s="51">
        <f t="shared" si="47"/>
        <v>452745</v>
      </c>
      <c r="N48" s="51">
        <f t="shared" si="47"/>
        <v>301830</v>
      </c>
      <c r="O48" s="51">
        <f t="shared" si="47"/>
        <v>3169215</v>
      </c>
      <c r="P48" s="51">
        <f t="shared" si="47"/>
        <v>5282025</v>
      </c>
      <c r="Q48" s="51">
        <f t="shared" si="47"/>
        <v>905490</v>
      </c>
      <c r="R48" s="51">
        <f t="shared" si="47"/>
        <v>301830</v>
      </c>
      <c r="S48" s="51">
        <f t="shared" si="47"/>
        <v>6489345</v>
      </c>
      <c r="T48" s="51">
        <f t="shared" si="47"/>
        <v>49581385</v>
      </c>
      <c r="U48" s="51">
        <f t="shared" si="47"/>
        <v>0</v>
      </c>
      <c r="V48" s="51">
        <f t="shared" si="47"/>
        <v>49100600</v>
      </c>
      <c r="W48" s="51">
        <f t="shared" si="47"/>
        <v>55000000</v>
      </c>
      <c r="X48" s="51">
        <f t="shared" si="47"/>
        <v>0</v>
      </c>
      <c r="Y48" s="51">
        <f t="shared" si="47"/>
        <v>0</v>
      </c>
      <c r="Z48" s="51">
        <f t="shared" si="47"/>
        <v>0</v>
      </c>
    </row>
    <row r="49" spans="1:26" s="26" customFormat="1" ht="21.75" customHeight="1" x14ac:dyDescent="0.25">
      <c r="A49" s="29">
        <v>30</v>
      </c>
      <c r="B49" s="30" t="s">
        <v>42</v>
      </c>
      <c r="C49" s="31" t="s">
        <v>41</v>
      </c>
      <c r="D49" s="43">
        <f t="shared" ref="D49:D54" si="48">F49+G49</f>
        <v>5545400</v>
      </c>
      <c r="E49" s="33">
        <v>26</v>
      </c>
      <c r="F49" s="34">
        <v>4258600</v>
      </c>
      <c r="G49" s="34">
        <v>1286800</v>
      </c>
      <c r="H49" s="35">
        <v>3757000</v>
      </c>
      <c r="I49" s="35">
        <v>730000</v>
      </c>
      <c r="J49" s="35"/>
      <c r="K49" s="36">
        <f>F49+G49+H49+I49+J49</f>
        <v>10032400</v>
      </c>
      <c r="L49" s="37">
        <f t="shared" ref="L49:L54" si="49">D49*8%</f>
        <v>443632</v>
      </c>
      <c r="M49" s="38">
        <f t="shared" ref="M49:M54" si="50">D49*1.5%</f>
        <v>83181</v>
      </c>
      <c r="N49" s="39">
        <f t="shared" ref="N49:N54" si="51">D49*1%</f>
        <v>55454</v>
      </c>
      <c r="O49" s="40">
        <f t="shared" ref="O49:O54" si="52">L49+M49+N49</f>
        <v>582267</v>
      </c>
      <c r="P49" s="38">
        <f>D49*17.5%</f>
        <v>970444.99999999988</v>
      </c>
      <c r="Q49" s="38">
        <f>D49*3%</f>
        <v>166362</v>
      </c>
      <c r="R49" s="38">
        <f>D49*1%</f>
        <v>55454</v>
      </c>
      <c r="S49" s="40">
        <f t="shared" ref="S49:S54" si="53">P49+Q49+R49</f>
        <v>1192261</v>
      </c>
      <c r="T49" s="41">
        <f t="shared" si="28"/>
        <v>9450133</v>
      </c>
      <c r="U49" s="42"/>
      <c r="V49" s="68">
        <f t="shared" si="1"/>
        <v>9302400</v>
      </c>
      <c r="W49" s="69">
        <v>11000000</v>
      </c>
      <c r="X49" s="69"/>
      <c r="Y49" s="69">
        <f t="shared" si="29"/>
        <v>0</v>
      </c>
      <c r="Z49" s="69">
        <f t="shared" si="30"/>
        <v>0</v>
      </c>
    </row>
    <row r="50" spans="1:26" s="26" customFormat="1" ht="21.75" customHeight="1" x14ac:dyDescent="0.25">
      <c r="A50" s="29"/>
      <c r="B50" s="30" t="s">
        <v>79</v>
      </c>
      <c r="C50" s="31" t="s">
        <v>29</v>
      </c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68"/>
      <c r="W50" s="69"/>
      <c r="X50" s="69"/>
      <c r="Y50" s="69"/>
      <c r="Z50" s="69"/>
    </row>
    <row r="51" spans="1:26" s="14" customFormat="1" ht="21.75" customHeight="1" x14ac:dyDescent="0.25">
      <c r="A51" s="29"/>
      <c r="B51" s="30" t="s">
        <v>81</v>
      </c>
      <c r="C51" s="31" t="s">
        <v>41</v>
      </c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68"/>
      <c r="W51" s="69"/>
      <c r="X51" s="69"/>
      <c r="Y51" s="69">
        <f t="shared" si="29"/>
        <v>0</v>
      </c>
      <c r="Z51" s="69">
        <f t="shared" si="30"/>
        <v>0</v>
      </c>
    </row>
    <row r="52" spans="1:26" s="14" customFormat="1" ht="17.25" customHeight="1" x14ac:dyDescent="0.25">
      <c r="A52" s="62">
        <v>31</v>
      </c>
      <c r="B52" s="30" t="s">
        <v>105</v>
      </c>
      <c r="C52" s="31" t="s">
        <v>40</v>
      </c>
      <c r="D52" s="43">
        <f t="shared" si="48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ref="K52:K54" si="54">F52+G52+H52+I52+J52</f>
        <v>10828400</v>
      </c>
      <c r="L52" s="37">
        <f t="shared" si="49"/>
        <v>503776</v>
      </c>
      <c r="M52" s="38">
        <f t="shared" si="50"/>
        <v>94458</v>
      </c>
      <c r="N52" s="39">
        <f t="shared" si="51"/>
        <v>62972</v>
      </c>
      <c r="O52" s="40">
        <f t="shared" si="52"/>
        <v>661206</v>
      </c>
      <c r="P52" s="38">
        <f t="shared" ref="P52" si="55">D52*17.5%</f>
        <v>1102010</v>
      </c>
      <c r="Q52" s="38">
        <f t="shared" ref="Q52:Q54" si="56">D52*3%</f>
        <v>188916</v>
      </c>
      <c r="R52" s="38">
        <f t="shared" ref="R52:R54" si="57">D52*1%</f>
        <v>62972</v>
      </c>
      <c r="S52" s="40">
        <f t="shared" si="53"/>
        <v>1353898</v>
      </c>
      <c r="T52" s="41">
        <f t="shared" si="28"/>
        <v>10167194</v>
      </c>
      <c r="U52" s="42"/>
      <c r="V52" s="68">
        <f t="shared" si="1"/>
        <v>10098400</v>
      </c>
      <c r="W52" s="69">
        <v>11000000</v>
      </c>
      <c r="X52" s="69"/>
      <c r="Y52" s="69">
        <f t="shared" si="29"/>
        <v>0</v>
      </c>
      <c r="Z52" s="69">
        <f t="shared" si="30"/>
        <v>0</v>
      </c>
    </row>
    <row r="53" spans="1:26" s="14" customFormat="1" ht="17.25" customHeight="1" x14ac:dyDescent="0.25">
      <c r="A53" s="29">
        <v>32</v>
      </c>
      <c r="B53" s="64" t="s">
        <v>117</v>
      </c>
      <c r="C53" s="31" t="s">
        <v>40</v>
      </c>
      <c r="D53" s="43">
        <f t="shared" si="48"/>
        <v>6297200</v>
      </c>
      <c r="E53" s="33">
        <v>26</v>
      </c>
      <c r="F53" s="34">
        <v>5148000</v>
      </c>
      <c r="G53" s="34">
        <v>1149200</v>
      </c>
      <c r="H53" s="35">
        <v>3801200</v>
      </c>
      <c r="I53" s="35">
        <v>730000</v>
      </c>
      <c r="J53" s="35"/>
      <c r="K53" s="36">
        <f t="shared" si="54"/>
        <v>10828400</v>
      </c>
      <c r="L53" s="37">
        <f t="shared" si="49"/>
        <v>503776</v>
      </c>
      <c r="M53" s="38">
        <f t="shared" si="50"/>
        <v>94458</v>
      </c>
      <c r="N53" s="39">
        <f t="shared" si="51"/>
        <v>62972</v>
      </c>
      <c r="O53" s="40">
        <f t="shared" si="52"/>
        <v>661206</v>
      </c>
      <c r="P53" s="38">
        <f>D53*17.5%</f>
        <v>1102010</v>
      </c>
      <c r="Q53" s="38">
        <f t="shared" si="56"/>
        <v>188916</v>
      </c>
      <c r="R53" s="38">
        <f t="shared" si="57"/>
        <v>62972</v>
      </c>
      <c r="S53" s="40">
        <f t="shared" si="53"/>
        <v>1353898</v>
      </c>
      <c r="T53" s="41">
        <f t="shared" si="28"/>
        <v>10167194</v>
      </c>
      <c r="U53" s="42"/>
      <c r="V53" s="68">
        <f t="shared" si="1"/>
        <v>10098400</v>
      </c>
      <c r="W53" s="69">
        <v>11000000</v>
      </c>
      <c r="X53" s="69"/>
      <c r="Y53" s="69">
        <f t="shared" si="29"/>
        <v>0</v>
      </c>
      <c r="Z53" s="69">
        <f t="shared" si="30"/>
        <v>0</v>
      </c>
    </row>
    <row r="54" spans="1:26" s="14" customFormat="1" ht="17.25" customHeight="1" x14ac:dyDescent="0.25">
      <c r="A54" s="62">
        <v>33</v>
      </c>
      <c r="B54" s="30" t="s">
        <v>121</v>
      </c>
      <c r="C54" s="31" t="s">
        <v>40</v>
      </c>
      <c r="D54" s="43">
        <f t="shared" si="48"/>
        <v>6297200</v>
      </c>
      <c r="E54" s="33">
        <v>26</v>
      </c>
      <c r="F54" s="34">
        <v>5148000</v>
      </c>
      <c r="G54" s="34">
        <v>1149200</v>
      </c>
      <c r="H54" s="35">
        <v>3801200</v>
      </c>
      <c r="I54" s="35">
        <v>730000</v>
      </c>
      <c r="J54" s="35"/>
      <c r="K54" s="36">
        <f t="shared" si="54"/>
        <v>10828400</v>
      </c>
      <c r="L54" s="37">
        <f t="shared" si="49"/>
        <v>503776</v>
      </c>
      <c r="M54" s="38">
        <f t="shared" si="50"/>
        <v>94458</v>
      </c>
      <c r="N54" s="39">
        <f t="shared" si="51"/>
        <v>62972</v>
      </c>
      <c r="O54" s="40">
        <f t="shared" si="52"/>
        <v>661206</v>
      </c>
      <c r="P54" s="38">
        <f>D54*17.5%</f>
        <v>1102010</v>
      </c>
      <c r="Q54" s="38">
        <f t="shared" si="56"/>
        <v>188916</v>
      </c>
      <c r="R54" s="38">
        <f t="shared" si="57"/>
        <v>62972</v>
      </c>
      <c r="S54" s="40">
        <f t="shared" si="53"/>
        <v>1353898</v>
      </c>
      <c r="T54" s="41">
        <f t="shared" si="28"/>
        <v>10167194</v>
      </c>
      <c r="U54" s="42"/>
      <c r="V54" s="68">
        <f t="shared" si="1"/>
        <v>10098400</v>
      </c>
      <c r="W54" s="69">
        <v>11000000</v>
      </c>
      <c r="X54" s="69"/>
      <c r="Y54" s="69">
        <f t="shared" si="29"/>
        <v>0</v>
      </c>
      <c r="Z54" s="69">
        <f t="shared" si="30"/>
        <v>0</v>
      </c>
    </row>
    <row r="55" spans="1:26" s="14" customFormat="1" ht="21.75" customHeight="1" x14ac:dyDescent="0.25">
      <c r="A55" s="29">
        <v>34</v>
      </c>
      <c r="B55" s="30" t="s">
        <v>135</v>
      </c>
      <c r="C55" s="31" t="s">
        <v>41</v>
      </c>
      <c r="D55" s="43">
        <f>F55+G55</f>
        <v>5746000</v>
      </c>
      <c r="E55" s="33">
        <v>26</v>
      </c>
      <c r="F55" s="34">
        <v>4773600</v>
      </c>
      <c r="G55" s="34">
        <v>972400</v>
      </c>
      <c r="H55" s="35">
        <v>3757000</v>
      </c>
      <c r="I55" s="35">
        <v>730000</v>
      </c>
      <c r="J55" s="35"/>
      <c r="K55" s="36">
        <f>F55+G55+H55+I55</f>
        <v>10233000</v>
      </c>
      <c r="L55" s="37">
        <f>D55*8%</f>
        <v>459680</v>
      </c>
      <c r="M55" s="38">
        <f>D55*1.5%</f>
        <v>86190</v>
      </c>
      <c r="N55" s="39">
        <f>D55*1%</f>
        <v>57460</v>
      </c>
      <c r="O55" s="40">
        <f>L55+M55+N55</f>
        <v>603330</v>
      </c>
      <c r="P55" s="38">
        <f>D55*17.5%</f>
        <v>1005549.9999999999</v>
      </c>
      <c r="Q55" s="38">
        <f>D55*3%</f>
        <v>172380</v>
      </c>
      <c r="R55" s="38">
        <f>D55*1%</f>
        <v>57460</v>
      </c>
      <c r="S55" s="40">
        <f>P55+Q55+R55</f>
        <v>1235390</v>
      </c>
      <c r="T55" s="41">
        <f t="shared" si="28"/>
        <v>9629670</v>
      </c>
      <c r="U55" s="42"/>
      <c r="V55" s="68">
        <f>K55-I55</f>
        <v>9503000</v>
      </c>
      <c r="W55" s="69">
        <v>11000000</v>
      </c>
      <c r="X55" s="69"/>
      <c r="Y55" s="69">
        <f>MAX(V55-O55-W55-X55,0)</f>
        <v>0</v>
      </c>
      <c r="Z55" s="69">
        <f>ROUND(IF(Y55&gt;80000000,((Y55-80000000)*0.35+18150000),IF(AND(Y55&gt;52000000,Y55&lt;=80000000),((Y55-52000000)*0.3+9750000),IF(AND(Y55&gt;32000000,Y55&lt;=52000000),((Y55-32000000)*0.25+4750000),IF(AND(Y55&gt;18000000,Y55&lt;=32000000),((Y55-18000000)*0.2+1950000),IF(AND(Y55&gt;10000000,Y55&lt;=18000000),((Y55-10000000)*0.15+750000),IF(AND(Y55&gt;5000000,Y55&lt;=10000000),((Y55-5000000)*0.1+250000),(Y55*0.05))))))),0)</f>
        <v>0</v>
      </c>
    </row>
    <row r="56" spans="1:26" s="14" customFormat="1" ht="21.75" customHeight="1" x14ac:dyDescent="0.25">
      <c r="A56" s="62">
        <v>35</v>
      </c>
      <c r="B56" s="64" t="s">
        <v>154</v>
      </c>
      <c r="C56" s="31" t="s">
        <v>155</v>
      </c>
      <c r="D56" s="32"/>
      <c r="E56" s="33"/>
      <c r="F56" s="34"/>
      <c r="G56" s="34"/>
      <c r="H56" s="35"/>
      <c r="I56" s="35"/>
      <c r="J56" s="35"/>
      <c r="K56" s="36"/>
      <c r="L56" s="37"/>
      <c r="M56" s="38"/>
      <c r="N56" s="39"/>
      <c r="O56" s="40"/>
      <c r="P56" s="38"/>
      <c r="Q56" s="38"/>
      <c r="R56" s="38"/>
      <c r="S56" s="40"/>
      <c r="T56" s="41"/>
      <c r="U56" s="42"/>
      <c r="V56" s="68"/>
      <c r="W56" s="69"/>
      <c r="X56" s="69"/>
      <c r="Y56" s="69"/>
      <c r="Z56" s="69">
        <f t="shared" ref="Z56" si="58">ROUND(IF(Y56&gt;80000000,((Y56-80000000)*0.35+18150000),IF(AND(Y56&gt;52000000,Y56&lt;=80000000),((Y56-52000000)*0.3+9750000),IF(AND(Y56&gt;32000000,Y56&lt;=52000000),((Y56-32000000)*0.25+4750000),IF(AND(Y56&gt;18000000,Y56&lt;=32000000),((Y56-18000000)*0.2+1950000),IF(AND(Y56&gt;10000000,Y56&lt;=18000000),((Y56-10000000)*0.15+750000),IF(AND(Y56&gt;5000000,Y56&lt;=10000000),((Y56-5000000)*0.1+250000),(Y56*0.05))))))),0)</f>
        <v>0</v>
      </c>
    </row>
    <row r="57" spans="1:26" s="14" customFormat="1" ht="19.5" customHeight="1" x14ac:dyDescent="0.25">
      <c r="A57" s="115" t="s">
        <v>43</v>
      </c>
      <c r="B57" s="116"/>
      <c r="C57" s="46"/>
      <c r="D57" s="47">
        <f>D11+D13+D17+D48</f>
        <v>208167400</v>
      </c>
      <c r="E57" s="47">
        <f t="shared" ref="E57:Z57" si="59">E11+E13+E17+E48</f>
        <v>858</v>
      </c>
      <c r="F57" s="47">
        <f t="shared" si="59"/>
        <v>172096600</v>
      </c>
      <c r="G57" s="47">
        <f t="shared" si="59"/>
        <v>36070800</v>
      </c>
      <c r="H57" s="47">
        <f t="shared" si="59"/>
        <v>125837400</v>
      </c>
      <c r="I57" s="47">
        <f t="shared" si="59"/>
        <v>21900000</v>
      </c>
      <c r="J57" s="47">
        <f t="shared" si="59"/>
        <v>100331101.977</v>
      </c>
      <c r="K57" s="47">
        <f t="shared" si="59"/>
        <v>443070701.97699994</v>
      </c>
      <c r="L57" s="47">
        <f t="shared" si="59"/>
        <v>16653392</v>
      </c>
      <c r="M57" s="47">
        <f t="shared" si="59"/>
        <v>3122511</v>
      </c>
      <c r="N57" s="47">
        <f t="shared" si="59"/>
        <v>2081674</v>
      </c>
      <c r="O57" s="47">
        <f t="shared" si="59"/>
        <v>21857577</v>
      </c>
      <c r="P57" s="47">
        <f t="shared" si="59"/>
        <v>36429295</v>
      </c>
      <c r="Q57" s="47">
        <f t="shared" si="59"/>
        <v>6245022</v>
      </c>
      <c r="R57" s="47">
        <f t="shared" si="59"/>
        <v>2081674</v>
      </c>
      <c r="S57" s="47">
        <f t="shared" si="59"/>
        <v>44755991</v>
      </c>
      <c r="T57" s="47">
        <f t="shared" si="59"/>
        <v>420227069.97699994</v>
      </c>
      <c r="U57" s="47">
        <f t="shared" si="59"/>
        <v>0</v>
      </c>
      <c r="V57" s="47">
        <f t="shared" si="59"/>
        <v>421170701.97699994</v>
      </c>
      <c r="W57" s="47">
        <f t="shared" si="59"/>
        <v>352000000</v>
      </c>
      <c r="X57" s="47">
        <f t="shared" si="59"/>
        <v>92400000</v>
      </c>
      <c r="Y57" s="47">
        <f t="shared" si="59"/>
        <v>44856183.830999993</v>
      </c>
      <c r="Z57" s="47">
        <f t="shared" si="59"/>
        <v>2368401</v>
      </c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L58" s="16"/>
      <c r="M58" s="16"/>
      <c r="N58" s="104" t="s">
        <v>145</v>
      </c>
      <c r="O58" s="104"/>
      <c r="P58" s="104"/>
      <c r="Q58" s="104"/>
      <c r="R58" s="104"/>
      <c r="S58" s="104"/>
      <c r="T58" s="104"/>
      <c r="U58" s="16"/>
      <c r="W58" s="70"/>
      <c r="X58" s="70"/>
      <c r="Y58" s="70"/>
      <c r="Z58" s="70"/>
    </row>
    <row r="59" spans="1:26" s="17" customFormat="1" ht="19.5" customHeight="1" x14ac:dyDescent="0.25">
      <c r="A59" s="10" t="s">
        <v>44</v>
      </c>
      <c r="B59" s="16"/>
      <c r="C59" s="16"/>
      <c r="D59" s="16"/>
      <c r="E59" s="10"/>
      <c r="F59" s="16"/>
      <c r="G59" s="10" t="s">
        <v>45</v>
      </c>
      <c r="H59" s="16"/>
      <c r="I59" s="16"/>
      <c r="J59" s="16"/>
      <c r="K59" s="16"/>
      <c r="M59" s="10"/>
      <c r="N59" s="117" t="s">
        <v>46</v>
      </c>
      <c r="O59" s="117"/>
      <c r="P59" s="117"/>
      <c r="Q59" s="117"/>
      <c r="R59" s="117"/>
      <c r="S59" s="117"/>
      <c r="T59" s="117"/>
      <c r="U59" s="16"/>
      <c r="W59" s="70"/>
      <c r="X59" s="70"/>
      <c r="Y59" s="70"/>
      <c r="Z59" s="70"/>
    </row>
    <row r="60" spans="1:26" s="17" customFormat="1" ht="19.5" customHeight="1" x14ac:dyDescent="0.25">
      <c r="A60" s="11" t="s">
        <v>47</v>
      </c>
      <c r="B60" s="16"/>
      <c r="C60" s="16"/>
      <c r="D60" s="11"/>
      <c r="E60" s="11"/>
      <c r="F60" s="11"/>
      <c r="G60" s="11" t="s">
        <v>48</v>
      </c>
      <c r="H60" s="11"/>
      <c r="I60" s="16"/>
      <c r="J60" s="16"/>
      <c r="K60" s="16"/>
      <c r="L60" s="16"/>
      <c r="M60" s="16"/>
      <c r="N60" s="104" t="s">
        <v>47</v>
      </c>
      <c r="O60" s="104"/>
      <c r="P60" s="104"/>
      <c r="Q60" s="104"/>
      <c r="R60" s="104"/>
      <c r="S60" s="104"/>
      <c r="T60" s="104"/>
      <c r="U60" s="16"/>
      <c r="W60" s="70"/>
      <c r="X60" s="70"/>
      <c r="Y60" s="70"/>
      <c r="Z60" s="70"/>
    </row>
    <row r="61" spans="1:26" s="17" customFormat="1" ht="19.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8"/>
      <c r="U61" s="16"/>
      <c r="W61" s="70"/>
      <c r="X61" s="70"/>
      <c r="Y61" s="70"/>
      <c r="Z61" s="70"/>
    </row>
    <row r="62" spans="1:26" s="17" customFormat="1" ht="19.5" customHeight="1" x14ac:dyDescent="0.25">
      <c r="A62" s="16"/>
      <c r="B62" s="16"/>
      <c r="C62" s="16"/>
      <c r="D62" s="16"/>
      <c r="E62" s="16"/>
      <c r="F62" s="16"/>
      <c r="G62" s="16"/>
      <c r="H62" s="16"/>
      <c r="I62" s="15"/>
      <c r="J62" s="15"/>
      <c r="K62" s="16"/>
      <c r="L62" s="16"/>
      <c r="M62" s="16"/>
      <c r="N62" s="16"/>
      <c r="O62" s="16"/>
      <c r="P62" s="16"/>
      <c r="Q62" s="16"/>
      <c r="R62" s="16"/>
      <c r="S62" s="16"/>
      <c r="T62" s="18"/>
      <c r="U62" s="16"/>
      <c r="W62" s="71"/>
      <c r="X62" s="71"/>
      <c r="Y62" s="71"/>
      <c r="Z62" s="71"/>
    </row>
    <row r="63" spans="1:26" ht="19.5" customHeight="1" x14ac:dyDescent="0.25">
      <c r="A63" s="16"/>
      <c r="B63" s="16"/>
      <c r="C63" s="16"/>
      <c r="D63" s="16"/>
      <c r="E63" s="16"/>
      <c r="F63" s="19"/>
      <c r="G63" s="16"/>
      <c r="H63" s="16"/>
      <c r="I63" s="16"/>
      <c r="J63" s="16"/>
      <c r="K63" s="18"/>
      <c r="L63" s="20"/>
      <c r="M63" s="21"/>
      <c r="O63" s="16"/>
      <c r="P63" s="16"/>
      <c r="Q63" s="16"/>
      <c r="R63" s="16"/>
      <c r="S63" s="16"/>
      <c r="T63" s="16"/>
      <c r="U63" s="12"/>
      <c r="W63" s="17"/>
      <c r="X63" s="17"/>
      <c r="Y63" s="17"/>
      <c r="Z63" s="17"/>
    </row>
    <row r="64" spans="1:26" ht="17.25" customHeight="1" x14ac:dyDescent="0.25">
      <c r="K64" s="22"/>
      <c r="L64" s="23"/>
      <c r="M64" s="24"/>
      <c r="W64" s="17"/>
      <c r="X64" s="17"/>
      <c r="Y64" s="17"/>
      <c r="Z64" s="17"/>
    </row>
    <row r="65" spans="4:26" x14ac:dyDescent="0.25">
      <c r="K65" s="22"/>
      <c r="W65" s="17"/>
      <c r="X65" s="17"/>
      <c r="Y65" s="17"/>
      <c r="Z65" s="17"/>
    </row>
    <row r="66" spans="4:26" x14ac:dyDescent="0.25">
      <c r="I66" s="25"/>
      <c r="J66" s="25"/>
      <c r="W66" s="17"/>
      <c r="X66" s="17"/>
      <c r="Y66" s="17"/>
      <c r="Z66" s="17"/>
    </row>
    <row r="67" spans="4:26" x14ac:dyDescent="0.25">
      <c r="D67" s="23"/>
      <c r="F67" s="22"/>
      <c r="G67" s="23"/>
      <c r="W67" s="17"/>
      <c r="X67" s="17"/>
      <c r="Y67" s="17"/>
      <c r="Z67" s="17"/>
    </row>
    <row r="68" spans="4:26" x14ac:dyDescent="0.25">
      <c r="F68" s="27"/>
    </row>
    <row r="70" spans="4:26" x14ac:dyDescent="0.25">
      <c r="N70" s="23"/>
    </row>
  </sheetData>
  <mergeCells count="28">
    <mergeCell ref="X8:X9"/>
    <mergeCell ref="Y8:Y9"/>
    <mergeCell ref="Z8:Z9"/>
    <mergeCell ref="K8:K9"/>
    <mergeCell ref="L8:O8"/>
    <mergeCell ref="P8:S8"/>
    <mergeCell ref="U8:U9"/>
    <mergeCell ref="V8:V9"/>
    <mergeCell ref="W8:W9"/>
    <mergeCell ref="T8:T9"/>
    <mergeCell ref="A5:U5"/>
    <mergeCell ref="A6:U6"/>
    <mergeCell ref="A11:C11"/>
    <mergeCell ref="A13:C13"/>
    <mergeCell ref="A8:A9"/>
    <mergeCell ref="B8:B9"/>
    <mergeCell ref="C8:C9"/>
    <mergeCell ref="D8:D9"/>
    <mergeCell ref="E8:E9"/>
    <mergeCell ref="F8:F9"/>
    <mergeCell ref="G8:I8"/>
    <mergeCell ref="J8:J9"/>
    <mergeCell ref="N60:T60"/>
    <mergeCell ref="A17:C17"/>
    <mergeCell ref="A48:C48"/>
    <mergeCell ref="A57:B57"/>
    <mergeCell ref="N58:T58"/>
    <mergeCell ref="N59:T59"/>
  </mergeCells>
  <hyperlinks>
    <hyperlink ref="B12" r:id="rId1" display="javascript:submitform('8460891335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TONGLUONG</vt:lpstr>
      <vt:lpstr>TONGBHXH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2025-01-09T04:37:03Z</dcterms:modified>
</cp:coreProperties>
</file>