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bookViews>
    <workbookView xWindow="0" yWindow="0" windowWidth="22185" windowHeight="9000"/>
  </bookViews>
  <sheets>
    <sheet name="HỘI CHỢ CV DƯƠNG ĐÌNH NGHỆ" sheetId="9" r:id="rId1"/>
    <sheet name="Hàng ăn thử" sheetId="6" r:id="rId2"/>
    <sheet name="Chi" sheetId="5" r:id="rId3"/>
  </sheets>
  <definedNames>
    <definedName name="_xlnm.Print_Area" localSheetId="2">Chi!$C$1:$O$12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5" l="1"/>
  <c r="O5" i="5" s="1"/>
  <c r="O6" i="5" s="1"/>
  <c r="G8" i="5"/>
  <c r="G6" i="5"/>
  <c r="O4" i="5"/>
  <c r="L4" i="5"/>
  <c r="F15" i="6"/>
  <c r="G14" i="6"/>
  <c r="G13" i="6"/>
  <c r="G12" i="6"/>
  <c r="G11" i="6"/>
  <c r="G10" i="6"/>
  <c r="G9" i="6"/>
  <c r="G8" i="6"/>
  <c r="G7" i="6"/>
  <c r="G6" i="6"/>
  <c r="S25" i="9"/>
  <c r="W24" i="9"/>
  <c r="Q24" i="9"/>
  <c r="P24" i="9"/>
  <c r="K24" i="9"/>
  <c r="J24" i="9"/>
  <c r="W23" i="9"/>
  <c r="V23" i="9"/>
  <c r="K23" i="9"/>
  <c r="J23" i="9"/>
  <c r="W22" i="9"/>
  <c r="Q22" i="9"/>
  <c r="P22" i="9"/>
  <c r="N22" i="9"/>
  <c r="K22" i="9"/>
  <c r="H22" i="9"/>
  <c r="W21" i="9"/>
  <c r="V21" i="9"/>
  <c r="Q21" i="9"/>
  <c r="P21" i="9"/>
  <c r="N21" i="9"/>
  <c r="J21" i="9"/>
  <c r="H21" i="9"/>
  <c r="W20" i="9"/>
  <c r="V20" i="9"/>
  <c r="Q20" i="9"/>
  <c r="P20" i="9"/>
  <c r="N20" i="9"/>
  <c r="K20" i="9"/>
  <c r="J20" i="9"/>
  <c r="H20" i="9"/>
  <c r="W19" i="9"/>
  <c r="V19" i="9"/>
  <c r="T19" i="9"/>
  <c r="Q19" i="9"/>
  <c r="P19" i="9"/>
  <c r="N19" i="9"/>
  <c r="K19" i="9"/>
  <c r="J19" i="9"/>
  <c r="H19" i="9"/>
  <c r="W18" i="9"/>
  <c r="V18" i="9"/>
  <c r="Q18" i="9"/>
  <c r="P18" i="9"/>
  <c r="N18" i="9"/>
  <c r="K18" i="9"/>
  <c r="J18" i="9"/>
  <c r="H18" i="9"/>
  <c r="W17" i="9"/>
  <c r="V17" i="9"/>
  <c r="Q17" i="9"/>
  <c r="P17" i="9"/>
  <c r="N17" i="9"/>
  <c r="K17" i="9"/>
  <c r="J17" i="9"/>
  <c r="H17" i="9"/>
  <c r="F17" i="9"/>
  <c r="W16" i="9"/>
  <c r="V16" i="9"/>
  <c r="Q16" i="9"/>
  <c r="P16" i="9"/>
  <c r="N16" i="9"/>
  <c r="K16" i="9"/>
  <c r="J16" i="9"/>
  <c r="H16" i="9"/>
  <c r="F16" i="9"/>
  <c r="W15" i="9"/>
  <c r="V15" i="9"/>
  <c r="Q15" i="9"/>
  <c r="P15" i="9"/>
  <c r="K15" i="9"/>
  <c r="J15" i="9"/>
  <c r="H15" i="9"/>
  <c r="F15" i="9"/>
  <c r="W14" i="9"/>
  <c r="Q14" i="9"/>
  <c r="P14" i="9"/>
  <c r="K14" i="9"/>
  <c r="W13" i="9"/>
  <c r="V13" i="9"/>
  <c r="Q13" i="9"/>
  <c r="N13" i="9"/>
  <c r="K13" i="9"/>
  <c r="J13" i="9"/>
  <c r="H13" i="9"/>
  <c r="W12" i="9"/>
  <c r="V12" i="9"/>
  <c r="Q12" i="9"/>
  <c r="P12" i="9"/>
  <c r="N12" i="9"/>
  <c r="K12" i="9"/>
  <c r="J12" i="9"/>
  <c r="W11" i="9"/>
  <c r="V11" i="9"/>
  <c r="Q11" i="9"/>
  <c r="P11" i="9"/>
  <c r="N11" i="9"/>
  <c r="K11" i="9"/>
  <c r="J11" i="9"/>
  <c r="H11" i="9"/>
  <c r="W9" i="9"/>
  <c r="V9" i="9"/>
  <c r="Q9" i="9"/>
  <c r="N9" i="9"/>
  <c r="K9" i="9"/>
  <c r="J9" i="9"/>
  <c r="H9" i="9"/>
  <c r="F9" i="9"/>
  <c r="W8" i="9"/>
  <c r="V8" i="9"/>
  <c r="Q8" i="9"/>
  <c r="P8" i="9"/>
  <c r="N8" i="9"/>
  <c r="K8" i="9"/>
  <c r="J8" i="9"/>
  <c r="W7" i="9"/>
  <c r="K7" i="9"/>
  <c r="W6" i="9"/>
  <c r="Q6" i="9"/>
  <c r="P6" i="9"/>
  <c r="N6" i="9"/>
  <c r="K6" i="9"/>
  <c r="H6" i="9"/>
  <c r="F6" i="9"/>
</calcChain>
</file>

<file path=xl/sharedStrings.xml><?xml version="1.0" encoding="utf-8"?>
<sst xmlns="http://schemas.openxmlformats.org/spreadsheetml/2006/main" count="102" uniqueCount="77">
  <si>
    <t>CTY TNHH MTV TM&amp;DV NGỌC THƠM FOODS</t>
  </si>
  <si>
    <t>BÁO CÁO DOANH THU BÁN HÀNG HỘI CHỢ DƯƠNG ĐÌNH NGHỆ</t>
  </si>
  <si>
    <t>STT</t>
  </si>
  <si>
    <t>MÃ HÀNG</t>
  </si>
  <si>
    <t>TÊN HÀNG</t>
  </si>
  <si>
    <t xml:space="preserve"> Đơn giá</t>
  </si>
  <si>
    <t>Ngày 20/12</t>
  </si>
  <si>
    <t>Ngày 21/12</t>
  </si>
  <si>
    <t>Ngày 22/12</t>
  </si>
  <si>
    <t>TỒN ĐẦU VÀO</t>
  </si>
  <si>
    <t>NHẬP</t>
  </si>
  <si>
    <t>TỒN CUỐI NGÀY</t>
  </si>
  <si>
    <t>TẶNG</t>
  </si>
  <si>
    <t>BÁN</t>
  </si>
  <si>
    <t>Thành tiền</t>
  </si>
  <si>
    <t>Ghi chú</t>
  </si>
  <si>
    <t>TỒN</t>
  </si>
  <si>
    <t>GM500</t>
  </si>
  <si>
    <t>Gà muối 500g</t>
  </si>
  <si>
    <t>GHK300</t>
  </si>
  <si>
    <t>Gà muối hun khói 300g</t>
  </si>
  <si>
    <t>GXD500</t>
  </si>
  <si>
    <t>Gà xì dầu 500g</t>
  </si>
  <si>
    <t>CGM100</t>
  </si>
  <si>
    <t>Chân giò heo muối 100g</t>
  </si>
  <si>
    <t>CGM300</t>
  </si>
  <si>
    <t>Chân giò heo muối 300g</t>
  </si>
  <si>
    <t>TẶNG 1 GIÒ SỤN GÀ 
(KHÁCH MUA 2 CỤC 300G, TẶNG 1 ĐƠN )</t>
  </si>
  <si>
    <t>CGM500</t>
  </si>
  <si>
    <t>Chân giò heo muối 500g</t>
  </si>
  <si>
    <t>1 CỤC BỊ XÌ NÊN LẤY QUA LÀM SAMPLING</t>
  </si>
  <si>
    <t>GTLX250G</t>
  </si>
  <si>
    <t>Giò tai lưỡi xào 250g</t>
  </si>
  <si>
    <t>TH200</t>
  </si>
  <si>
    <t>Tai heo muối 200g</t>
  </si>
  <si>
    <t>LẤY 5 CỤC QUA LÀM HÀNG SAMPLING</t>
  </si>
  <si>
    <t>TH400</t>
  </si>
  <si>
    <t>Tai heo muối 400g</t>
  </si>
  <si>
    <t>MNH250</t>
  </si>
  <si>
    <t>Mọc nấm hương 250g</t>
  </si>
  <si>
    <t>CN300</t>
  </si>
  <si>
    <t>Chả nướng 300g</t>
  </si>
  <si>
    <t>1 CỤC LẤY LÀM SAMPLING</t>
  </si>
  <si>
    <t>CC300</t>
  </si>
  <si>
    <t>Chả cốm  300g</t>
  </si>
  <si>
    <t>GL250</t>
  </si>
  <si>
    <t>Giò lụa cây 250g</t>
  </si>
  <si>
    <t>GSG250</t>
  </si>
  <si>
    <t>Giò sụn gà 250g</t>
  </si>
  <si>
    <t>(CÓ TẶNG THÊM 1 GIÒ SỤN GÀ 2 CỤC CHÂN 300 - 1 ĐƠN DUY NHẤT)
TẶNG KHI MUA GÀ MUỐI/ GÀ XÌ DẦU/ CHÂN GIÒ HEO MUỐI</t>
  </si>
  <si>
    <t>20 CỤC TẶNG CTKM, 
2 CỤC LÀM SAMPLING</t>
  </si>
  <si>
    <t>TẶNG KHI MUA GÀ XÌ DẦU/ CHÂN GIÒ HEO MUỐI</t>
  </si>
  <si>
    <t>TẶNG KHI MUA GÀ MUỐI/ GÀ XÌ DẦU/ CHÂN GIÒ HEO MUỐI</t>
  </si>
  <si>
    <t>TỔNG TIỀN</t>
  </si>
  <si>
    <t>DOANH THU</t>
  </si>
  <si>
    <t>HÀNG SAMPLING</t>
  </si>
  <si>
    <t>NGÀY 20/12</t>
  </si>
  <si>
    <t>NGÀY 21/12</t>
  </si>
  <si>
    <t>NGÀY 22/12</t>
  </si>
  <si>
    <t>GIÁ TIỀN</t>
  </si>
  <si>
    <t>THÀNH TIỀN</t>
  </si>
  <si>
    <t>Chả cốm 300g</t>
  </si>
  <si>
    <t>Giò sụn gà 250</t>
  </si>
  <si>
    <t>CTY TNHH MỘT THÀNH VIÊN TM VÀ DV NGỌC THƠM</t>
  </si>
  <si>
    <t>BÁO CÁO CHI  HÀNG BÁN HỘI CHỢ DƯƠNG ĐÌNH NGHỆ</t>
  </si>
  <si>
    <t>TỔNG TIỀN MẶT ĐÃ NỘP</t>
  </si>
  <si>
    <t>TỔNG DOANH SỐ</t>
  </si>
  <si>
    <t>TÊN</t>
  </si>
  <si>
    <t>SL</t>
  </si>
  <si>
    <t>GHI CHÚ</t>
  </si>
  <si>
    <t>KHOẢN CHI PHÁT SINH</t>
  </si>
  <si>
    <t>Đá</t>
  </si>
  <si>
    <t>Tiền mặt</t>
  </si>
  <si>
    <t>CHUYỂN KHOẢN LẠI VÀO QUỸ</t>
  </si>
  <si>
    <t>Tiền vận chuyển aha (chiều về)</t>
  </si>
  <si>
    <t xml:space="preserve">Tiền mua khăn giấy ướt + khăn khô </t>
  </si>
  <si>
    <t xml:space="preserve">Tiền mặt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</si>
</sst>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8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rgb="FFFF0000"/>
      <name val="Times New Roman"/>
      <charset val="134"/>
    </font>
    <font>
      <b/>
      <sz val="10"/>
      <color theme="1"/>
      <name val="Times New Roman"/>
      <charset val="134"/>
    </font>
    <font>
      <b/>
      <sz val="18"/>
      <color theme="0"/>
      <name val="Times New Roman"/>
      <charset val="134"/>
    </font>
    <font>
      <sz val="11"/>
      <name val="Times New Roman"/>
      <charset val="134"/>
    </font>
    <font>
      <b/>
      <sz val="16"/>
      <color theme="1"/>
      <name val="Times New Roman"/>
      <charset val="134"/>
    </font>
    <font>
      <sz val="12"/>
      <color theme="1"/>
      <name val="Times New Roman"/>
      <charset val="134"/>
    </font>
    <font>
      <b/>
      <sz val="14"/>
      <color rgb="FFFF0000"/>
      <name val="Times New Roman"/>
      <charset val="134"/>
    </font>
    <font>
      <sz val="11"/>
      <color rgb="FFFF0000"/>
      <name val="Times New Roman"/>
      <charset val="134"/>
    </font>
    <font>
      <b/>
      <sz val="36"/>
      <color theme="1"/>
      <name val="Times New Roman"/>
      <charset val="134"/>
    </font>
    <font>
      <b/>
      <sz val="13"/>
      <color theme="1"/>
      <name val="Times New Roman"/>
      <charset val="134"/>
    </font>
    <font>
      <b/>
      <sz val="11"/>
      <name val="Times New Roman"/>
      <charset val="134"/>
    </font>
    <font>
      <b/>
      <sz val="48"/>
      <color theme="1"/>
      <name val="Times New Roman"/>
      <charset val="134"/>
    </font>
    <font>
      <b/>
      <sz val="48"/>
      <color theme="0"/>
      <name val="Times New Roman"/>
      <charset val="134"/>
    </font>
    <font>
      <sz val="11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</cellStyleXfs>
  <cellXfs count="1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4" fillId="3" borderId="0" xfId="0" applyFont="1" applyFill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3" fontId="1" fillId="4" borderId="1" xfId="0" applyNumberFormat="1" applyFont="1" applyFill="1" applyBorder="1"/>
    <xf numFmtId="3" fontId="1" fillId="0" borderId="0" xfId="0" applyNumberFormat="1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1" applyNumberFormat="1" applyFont="1" applyBorder="1"/>
    <xf numFmtId="0" fontId="2" fillId="0" borderId="0" xfId="0" applyFont="1"/>
    <xf numFmtId="0" fontId="2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0" fontId="9" fillId="0" borderId="0" xfId="3" applyFont="1"/>
    <xf numFmtId="0" fontId="1" fillId="0" borderId="0" xfId="3" applyFont="1"/>
    <xf numFmtId="0" fontId="1" fillId="0" borderId="0" xfId="3" applyFont="1" applyAlignment="1">
      <alignment horizontal="center"/>
    </xf>
    <xf numFmtId="165" fontId="1" fillId="0" borderId="0" xfId="2" applyNumberFormat="1" applyFont="1" applyAlignment="1"/>
    <xf numFmtId="165" fontId="1" fillId="0" borderId="0" xfId="2" applyNumberFormat="1" applyFont="1"/>
    <xf numFmtId="0" fontId="7" fillId="0" borderId="0" xfId="3" applyFont="1"/>
    <xf numFmtId="0" fontId="1" fillId="3" borderId="0" xfId="3" applyFont="1" applyFill="1"/>
    <xf numFmtId="0" fontId="10" fillId="0" borderId="0" xfId="3" applyFont="1" applyAlignment="1">
      <alignment horizontal="left"/>
    </xf>
    <xf numFmtId="0" fontId="11" fillId="0" borderId="0" xfId="3" applyFont="1" applyAlignment="1">
      <alignment horizontal="left"/>
    </xf>
    <xf numFmtId="0" fontId="11" fillId="0" borderId="0" xfId="3" applyFont="1"/>
    <xf numFmtId="165" fontId="2" fillId="5" borderId="1" xfId="2" applyNumberFormat="1" applyFont="1" applyFill="1" applyBorder="1" applyAlignment="1">
      <alignment horizontal="center" vertical="center"/>
    </xf>
    <xf numFmtId="165" fontId="1" fillId="0" borderId="9" xfId="2" applyNumberFormat="1" applyFont="1" applyBorder="1" applyAlignment="1">
      <alignment vertical="center"/>
    </xf>
    <xf numFmtId="165" fontId="1" fillId="5" borderId="1" xfId="2" applyNumberFormat="1" applyFont="1" applyFill="1" applyBorder="1" applyAlignment="1">
      <alignment horizontal="center" vertical="center"/>
    </xf>
    <xf numFmtId="165" fontId="1" fillId="0" borderId="3" xfId="2" applyNumberFormat="1" applyFont="1" applyBorder="1" applyAlignment="1">
      <alignment vertical="center"/>
    </xf>
    <xf numFmtId="0" fontId="1" fillId="0" borderId="1" xfId="3" applyFont="1" applyBorder="1" applyAlignment="1">
      <alignment horizontal="center"/>
    </xf>
    <xf numFmtId="0" fontId="1" fillId="0" borderId="1" xfId="3" applyFont="1" applyBorder="1"/>
    <xf numFmtId="165" fontId="1" fillId="0" borderId="1" xfId="2" applyNumberFormat="1" applyFont="1" applyBorder="1" applyAlignment="1"/>
    <xf numFmtId="0" fontId="9" fillId="5" borderId="1" xfId="3" applyFont="1" applyFill="1" applyBorder="1"/>
    <xf numFmtId="0" fontId="9" fillId="5" borderId="1" xfId="3" applyFont="1" applyFill="1" applyBorder="1" applyAlignment="1">
      <alignment horizontal="right" vertical="center"/>
    </xf>
    <xf numFmtId="165" fontId="2" fillId="5" borderId="6" xfId="2" applyNumberFormat="1" applyFont="1" applyFill="1" applyBorder="1" applyAlignment="1">
      <alignment horizontal="center" vertical="center"/>
    </xf>
    <xf numFmtId="0" fontId="1" fillId="5" borderId="1" xfId="3" applyFont="1" applyFill="1" applyBorder="1" applyAlignment="1">
      <alignment vertical="center"/>
    </xf>
    <xf numFmtId="165" fontId="7" fillId="5" borderId="1" xfId="2" applyNumberFormat="1" applyFont="1" applyFill="1" applyBorder="1" applyAlignment="1">
      <alignment horizontal="center" vertical="center"/>
    </xf>
    <xf numFmtId="0" fontId="1" fillId="5" borderId="1" xfId="3" applyFont="1" applyFill="1" applyBorder="1"/>
    <xf numFmtId="165" fontId="14" fillId="5" borderId="6" xfId="2" applyNumberFormat="1" applyFont="1" applyFill="1" applyBorder="1" applyAlignment="1">
      <alignment horizontal="center" vertical="center"/>
    </xf>
    <xf numFmtId="165" fontId="14" fillId="5" borderId="6" xfId="2" applyNumberFormat="1" applyFont="1" applyFill="1" applyBorder="1" applyAlignment="1">
      <alignment horizontal="center"/>
    </xf>
    <xf numFmtId="0" fontId="2" fillId="5" borderId="1" xfId="3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165" fontId="1" fillId="5" borderId="1" xfId="2" applyNumberFormat="1" applyFont="1" applyFill="1" applyBorder="1" applyAlignment="1">
      <alignment vertical="center"/>
    </xf>
    <xf numFmtId="0" fontId="1" fillId="5" borderId="1" xfId="3" applyFont="1" applyFill="1" applyBorder="1" applyAlignment="1">
      <alignment horizontal="center" wrapText="1"/>
    </xf>
    <xf numFmtId="0" fontId="1" fillId="0" borderId="1" xfId="3" applyFont="1" applyBorder="1" applyAlignment="1">
      <alignment horizontal="center" vertical="center"/>
    </xf>
    <xf numFmtId="0" fontId="1" fillId="5" borderId="1" xfId="3" applyFont="1" applyFill="1" applyBorder="1" applyAlignment="1">
      <alignment horizontal="center" vertical="center" wrapText="1"/>
    </xf>
    <xf numFmtId="0" fontId="1" fillId="0" borderId="1" xfId="3" applyFont="1" applyBorder="1" applyAlignment="1">
      <alignment vertical="center"/>
    </xf>
    <xf numFmtId="165" fontId="1" fillId="5" borderId="1" xfId="3" applyNumberFormat="1" applyFont="1" applyFill="1" applyBorder="1" applyAlignment="1">
      <alignment horizontal="center"/>
    </xf>
    <xf numFmtId="0" fontId="1" fillId="0" borderId="1" xfId="3" applyFont="1" applyBorder="1" applyAlignment="1">
      <alignment horizontal="center" vertical="center" wrapText="1"/>
    </xf>
    <xf numFmtId="165" fontId="1" fillId="0" borderId="1" xfId="3" applyNumberFormat="1" applyFont="1" applyBorder="1" applyAlignment="1">
      <alignment horizontal="center" vertical="center"/>
    </xf>
    <xf numFmtId="0" fontId="1" fillId="5" borderId="6" xfId="3" applyFont="1" applyFill="1" applyBorder="1" applyAlignment="1">
      <alignment horizontal="center"/>
    </xf>
    <xf numFmtId="0" fontId="1" fillId="0" borderId="6" xfId="3" applyFont="1" applyBorder="1" applyAlignment="1">
      <alignment horizontal="center" vertical="center" wrapText="1"/>
    </xf>
    <xf numFmtId="0" fontId="1" fillId="5" borderId="1" xfId="3" applyFont="1" applyFill="1" applyBorder="1" applyAlignment="1">
      <alignment horizontal="center"/>
    </xf>
    <xf numFmtId="165" fontId="1" fillId="0" borderId="1" xfId="3" applyNumberFormat="1" applyFont="1" applyBorder="1" applyAlignment="1">
      <alignment horizontal="center"/>
    </xf>
    <xf numFmtId="165" fontId="1" fillId="5" borderId="1" xfId="3" applyNumberFormat="1" applyFont="1" applyFill="1" applyBorder="1" applyAlignment="1">
      <alignment horizontal="center" wrapText="1"/>
    </xf>
    <xf numFmtId="165" fontId="1" fillId="0" borderId="6" xfId="3" applyNumberFormat="1" applyFont="1" applyBorder="1" applyAlignment="1">
      <alignment vertical="center"/>
    </xf>
    <xf numFmtId="165" fontId="1" fillId="0" borderId="8" xfId="3" applyNumberFormat="1" applyFont="1" applyBorder="1" applyAlignment="1">
      <alignment vertical="center"/>
    </xf>
    <xf numFmtId="165" fontId="2" fillId="5" borderId="1" xfId="2" applyNumberFormat="1" applyFont="1" applyFill="1" applyBorder="1"/>
    <xf numFmtId="165" fontId="7" fillId="5" borderId="1" xfId="2" applyNumberFormat="1" applyFont="1" applyFill="1" applyBorder="1" applyAlignment="1">
      <alignment horizontal="center"/>
    </xf>
    <xf numFmtId="165" fontId="7" fillId="5" borderId="1" xfId="2" applyNumberFormat="1" applyFont="1" applyFill="1" applyBorder="1" applyAlignment="1">
      <alignment vertical="center"/>
    </xf>
    <xf numFmtId="165" fontId="2" fillId="5" borderId="6" xfId="3" applyNumberFormat="1" applyFont="1" applyFill="1" applyBorder="1" applyAlignment="1">
      <alignment horizontal="right"/>
    </xf>
    <xf numFmtId="165" fontId="2" fillId="5" borderId="6" xfId="2" applyNumberFormat="1" applyFont="1" applyFill="1" applyBorder="1"/>
    <xf numFmtId="165" fontId="2" fillId="0" borderId="6" xfId="3" applyNumberFormat="1" applyFont="1" applyBorder="1" applyAlignment="1">
      <alignment vertical="center"/>
    </xf>
    <xf numFmtId="165" fontId="2" fillId="0" borderId="6" xfId="3" applyNumberFormat="1" applyFont="1" applyBorder="1"/>
    <xf numFmtId="165" fontId="1" fillId="0" borderId="0" xfId="3" applyNumberFormat="1" applyFont="1" applyAlignment="1">
      <alignment vertical="center"/>
    </xf>
    <xf numFmtId="0" fontId="2" fillId="0" borderId="1" xfId="3" applyFont="1" applyBorder="1" applyAlignment="1">
      <alignment horizontal="center" vertical="center"/>
    </xf>
    <xf numFmtId="0" fontId="2" fillId="3" borderId="1" xfId="3" applyFont="1" applyFill="1" applyBorder="1" applyAlignment="1">
      <alignment horizontal="center" vertical="center" wrapText="1"/>
    </xf>
    <xf numFmtId="0" fontId="2" fillId="5" borderId="1" xfId="3" applyFont="1" applyFill="1" applyBorder="1" applyAlignment="1">
      <alignment horizontal="center" vertical="center"/>
    </xf>
    <xf numFmtId="165" fontId="2" fillId="5" borderId="1" xfId="2" applyNumberFormat="1" applyFont="1" applyFill="1" applyBorder="1" applyAlignment="1">
      <alignment vertical="center"/>
    </xf>
    <xf numFmtId="0" fontId="1" fillId="5" borderId="1" xfId="3" applyFont="1" applyFill="1" applyBorder="1" applyAlignment="1">
      <alignment horizontal="center" vertical="center"/>
    </xf>
    <xf numFmtId="165" fontId="2" fillId="5" borderId="1" xfId="3" applyNumberFormat="1" applyFont="1" applyFill="1" applyBorder="1" applyAlignment="1">
      <alignment horizontal="center" vertical="center" wrapText="1"/>
    </xf>
    <xf numFmtId="165" fontId="2" fillId="5" borderId="1" xfId="3" applyNumberFormat="1" applyFont="1" applyFill="1" applyBorder="1" applyAlignment="1">
      <alignment horizontal="center" vertical="center"/>
    </xf>
    <xf numFmtId="165" fontId="2" fillId="5" borderId="6" xfId="3" applyNumberFormat="1" applyFont="1" applyFill="1" applyBorder="1" applyAlignment="1">
      <alignment horizontal="center" vertical="center"/>
    </xf>
    <xf numFmtId="165" fontId="2" fillId="5" borderId="6" xfId="3" applyNumberFormat="1" applyFont="1" applyFill="1" applyBorder="1" applyAlignment="1">
      <alignment vertical="center" wrapText="1"/>
    </xf>
    <xf numFmtId="165" fontId="2" fillId="5" borderId="6" xfId="3" applyNumberFormat="1" applyFont="1" applyFill="1" applyBorder="1" applyAlignment="1">
      <alignment vertical="center"/>
    </xf>
    <xf numFmtId="165" fontId="2" fillId="5" borderId="8" xfId="3" applyNumberFormat="1" applyFont="1" applyFill="1" applyBorder="1" applyAlignment="1">
      <alignment vertical="center" wrapText="1"/>
    </xf>
    <xf numFmtId="165" fontId="2" fillId="0" borderId="1" xfId="2" applyNumberFormat="1" applyFont="1" applyBorder="1"/>
    <xf numFmtId="0" fontId="1" fillId="0" borderId="0" xfId="3" applyFont="1" applyAlignment="1">
      <alignment horizontal="center" vertical="center" wrapText="1"/>
    </xf>
    <xf numFmtId="165" fontId="1" fillId="5" borderId="1" xfId="3" applyNumberFormat="1" applyFont="1" applyFill="1" applyBorder="1" applyAlignment="1">
      <alignment horizontal="center" vertical="center" wrapText="1"/>
    </xf>
    <xf numFmtId="165" fontId="2" fillId="0" borderId="6" xfId="3" applyNumberFormat="1" applyFont="1" applyBorder="1" applyAlignment="1"/>
    <xf numFmtId="0" fontId="1" fillId="0" borderId="6" xfId="3" applyFont="1" applyBorder="1" applyAlignment="1">
      <alignment horizontal="right" vertical="center" wrapText="1"/>
    </xf>
    <xf numFmtId="0" fontId="1" fillId="5" borderId="6" xfId="3" applyFont="1" applyFill="1" applyBorder="1" applyAlignment="1">
      <alignment horizontal="center" vertical="center" wrapText="1"/>
    </xf>
    <xf numFmtId="165" fontId="1" fillId="0" borderId="0" xfId="3" applyNumberFormat="1" applyFont="1"/>
    <xf numFmtId="0" fontId="12" fillId="0" borderId="0" xfId="3" applyFont="1" applyAlignment="1">
      <alignment horizontal="center" vertical="center"/>
    </xf>
    <xf numFmtId="0" fontId="13" fillId="5" borderId="2" xfId="3" applyFont="1" applyFill="1" applyBorder="1" applyAlignment="1">
      <alignment horizontal="center" vertical="center"/>
    </xf>
    <xf numFmtId="0" fontId="13" fillId="5" borderId="11" xfId="3" applyFont="1" applyFill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12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5" borderId="12" xfId="3" applyFont="1" applyFill="1" applyBorder="1" applyAlignment="1">
      <alignment horizontal="center" vertical="center"/>
    </xf>
    <xf numFmtId="0" fontId="13" fillId="5" borderId="4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15" fillId="6" borderId="1" xfId="3" applyFont="1" applyFill="1" applyBorder="1" applyAlignment="1">
      <alignment horizontal="center" vertical="center"/>
    </xf>
    <xf numFmtId="3" fontId="16" fillId="6" borderId="1" xfId="2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" fillId="0" borderId="10" xfId="3" applyFont="1" applyBorder="1" applyAlignment="1">
      <alignment horizontal="center" vertical="center"/>
    </xf>
    <xf numFmtId="0" fontId="1" fillId="0" borderId="6" xfId="3" applyFont="1" applyBorder="1" applyAlignment="1">
      <alignment horizontal="center" vertical="center"/>
    </xf>
    <xf numFmtId="0" fontId="1" fillId="0" borderId="8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center"/>
    </xf>
    <xf numFmtId="0" fontId="1" fillId="0" borderId="10" xfId="3" applyFont="1" applyBorder="1" applyAlignment="1">
      <alignment horizontal="left" vertical="center"/>
    </xf>
    <xf numFmtId="0" fontId="1" fillId="0" borderId="6" xfId="3" applyFont="1" applyBorder="1" applyAlignment="1">
      <alignment horizontal="left" vertical="center"/>
    </xf>
    <xf numFmtId="0" fontId="1" fillId="0" borderId="8" xfId="3" applyFont="1" applyBorder="1" applyAlignment="1">
      <alignment horizontal="left" vertical="center"/>
    </xf>
    <xf numFmtId="0" fontId="1" fillId="0" borderId="8" xfId="3" applyFont="1" applyBorder="1" applyAlignment="1">
      <alignment vertical="center"/>
    </xf>
    <xf numFmtId="165" fontId="2" fillId="0" borderId="7" xfId="2" applyNumberFormat="1" applyFont="1" applyBorder="1" applyAlignment="1">
      <alignment horizontal="center" vertical="center"/>
    </xf>
    <xf numFmtId="165" fontId="2" fillId="0" borderId="9" xfId="2" applyNumberFormat="1" applyFont="1" applyBorder="1" applyAlignment="1">
      <alignment horizontal="center" vertical="center"/>
    </xf>
    <xf numFmtId="165" fontId="2" fillId="5" borderId="1" xfId="2" applyNumberFormat="1" applyFont="1" applyFill="1" applyBorder="1" applyAlignment="1">
      <alignment horizontal="center" vertical="center"/>
    </xf>
    <xf numFmtId="165" fontId="2" fillId="5" borderId="6" xfId="2" applyNumberFormat="1" applyFont="1" applyFill="1" applyBorder="1" applyAlignment="1">
      <alignment horizontal="center" vertical="center"/>
    </xf>
    <xf numFmtId="165" fontId="2" fillId="5" borderId="8" xfId="2" applyNumberFormat="1" applyFont="1" applyFill="1" applyBorder="1" applyAlignment="1">
      <alignment horizontal="center" vertical="center"/>
    </xf>
    <xf numFmtId="165" fontId="7" fillId="5" borderId="6" xfId="2" applyNumberFormat="1" applyFont="1" applyFill="1" applyBorder="1" applyAlignment="1">
      <alignment horizontal="center" vertical="center"/>
    </xf>
    <xf numFmtId="165" fontId="7" fillId="5" borderId="8" xfId="2" applyNumberFormat="1" applyFont="1" applyFill="1" applyBorder="1" applyAlignment="1">
      <alignment horizontal="center" vertical="center"/>
    </xf>
    <xf numFmtId="0" fontId="2" fillId="5" borderId="1" xfId="3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right" vertical="center"/>
    </xf>
    <xf numFmtId="0" fontId="1" fillId="5" borderId="6" xfId="3" applyFont="1" applyFill="1" applyBorder="1" applyAlignment="1">
      <alignment horizontal="right" vertical="center"/>
    </xf>
    <xf numFmtId="0" fontId="1" fillId="5" borderId="8" xfId="3" applyFont="1" applyFill="1" applyBorder="1" applyAlignment="1">
      <alignment horizontal="right" vertical="center"/>
    </xf>
    <xf numFmtId="165" fontId="1" fillId="5" borderId="1" xfId="2" applyNumberFormat="1" applyFont="1" applyFill="1" applyBorder="1" applyAlignment="1">
      <alignment horizontal="center" vertical="center"/>
    </xf>
    <xf numFmtId="165" fontId="1" fillId="5" borderId="6" xfId="2" applyNumberFormat="1" applyFont="1" applyFill="1" applyBorder="1" applyAlignment="1">
      <alignment horizontal="center" vertical="center"/>
    </xf>
    <xf numFmtId="165" fontId="1" fillId="5" borderId="8" xfId="2" applyNumberFormat="1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/>
    </xf>
    <xf numFmtId="0" fontId="1" fillId="5" borderId="8" xfId="3" applyFont="1" applyFill="1" applyBorder="1" applyAlignment="1">
      <alignment horizontal="center"/>
    </xf>
    <xf numFmtId="0" fontId="1" fillId="0" borderId="1" xfId="3" applyFont="1" applyBorder="1" applyAlignment="1">
      <alignment horizontal="center" vertical="center"/>
    </xf>
    <xf numFmtId="0" fontId="1" fillId="0" borderId="6" xfId="3" applyFont="1" applyBorder="1" applyAlignment="1">
      <alignment horizontal="center" vertical="center" wrapText="1"/>
    </xf>
    <xf numFmtId="0" fontId="1" fillId="0" borderId="8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right" vertical="center"/>
    </xf>
    <xf numFmtId="165" fontId="1" fillId="0" borderId="6" xfId="3" applyNumberFormat="1" applyFont="1" applyBorder="1" applyAlignment="1">
      <alignment horizontal="center" vertical="center"/>
    </xf>
    <xf numFmtId="165" fontId="1" fillId="0" borderId="8" xfId="3" applyNumberFormat="1" applyFont="1" applyBorder="1" applyAlignment="1">
      <alignment horizontal="center" vertical="center"/>
    </xf>
    <xf numFmtId="0" fontId="1" fillId="0" borderId="1" xfId="3" applyFont="1" applyBorder="1" applyAlignment="1">
      <alignment vertical="center"/>
    </xf>
    <xf numFmtId="0" fontId="1" fillId="5" borderId="6" xfId="3" applyFont="1" applyFill="1" applyBorder="1" applyAlignment="1">
      <alignment horizontal="center" vertical="center"/>
    </xf>
    <xf numFmtId="0" fontId="1" fillId="5" borderId="8" xfId="3" applyFont="1" applyFill="1" applyBorder="1" applyAlignment="1">
      <alignment horizontal="center" vertical="center"/>
    </xf>
    <xf numFmtId="165" fontId="2" fillId="5" borderId="6" xfId="3" applyNumberFormat="1" applyFont="1" applyFill="1" applyBorder="1" applyAlignment="1">
      <alignment horizontal="center" vertical="center" wrapText="1"/>
    </xf>
    <xf numFmtId="165" fontId="2" fillId="5" borderId="8" xfId="3" applyNumberFormat="1" applyFont="1" applyFill="1" applyBorder="1" applyAlignment="1">
      <alignment horizontal="center" vertical="center" wrapText="1"/>
    </xf>
    <xf numFmtId="165" fontId="2" fillId="5" borderId="6" xfId="3" applyNumberFormat="1" applyFont="1" applyFill="1" applyBorder="1" applyAlignment="1">
      <alignment horizontal="center" vertical="center"/>
    </xf>
    <xf numFmtId="165" fontId="2" fillId="5" borderId="8" xfId="3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30"/>
  <sheetViews>
    <sheetView tabSelected="1" zoomScale="57" zoomScaleNormal="57" workbookViewId="0">
      <pane xSplit="5" ySplit="5" topLeftCell="F6" activePane="bottomRight" state="frozen"/>
      <selection pane="topRight"/>
      <selection pane="bottomLeft"/>
      <selection pane="bottomRight" activeCell="AA10" sqref="AA10"/>
    </sheetView>
  </sheetViews>
  <sheetFormatPr defaultColWidth="8.85546875" defaultRowHeight="15"/>
  <cols>
    <col min="1" max="1" width="8.85546875" style="25"/>
    <col min="2" max="2" width="4.85546875" style="26" customWidth="1"/>
    <col min="3" max="3" width="12" style="26" customWidth="1"/>
    <col min="4" max="4" width="21.7109375" style="26" customWidth="1"/>
    <col min="5" max="5" width="13" style="27" customWidth="1"/>
    <col min="6" max="6" width="19.28515625" style="27" customWidth="1"/>
    <col min="7" max="7" width="19.28515625" style="25" customWidth="1"/>
    <col min="8" max="9" width="19.28515625" style="28" customWidth="1"/>
    <col min="10" max="11" width="14.7109375" style="28" customWidth="1"/>
    <col min="12" max="12" width="41.28515625" style="25" customWidth="1"/>
    <col min="13" max="13" width="14.140625" style="25" customWidth="1"/>
    <col min="14" max="14" width="14.140625" style="23" customWidth="1"/>
    <col min="15" max="15" width="14.140625" style="25" customWidth="1"/>
    <col min="16" max="16" width="14.140625" style="23" customWidth="1"/>
    <col min="17" max="17" width="14.140625" style="25" customWidth="1"/>
    <col min="18" max="18" width="37.28515625" style="25" customWidth="1"/>
    <col min="19" max="19" width="12.7109375" style="25" customWidth="1"/>
    <col min="20" max="20" width="12.7109375" style="23" customWidth="1"/>
    <col min="21" max="21" width="12.7109375" style="25" customWidth="1"/>
    <col min="22" max="22" width="11.7109375" style="23" customWidth="1"/>
    <col min="23" max="23" width="15.85546875" style="23" customWidth="1"/>
    <col min="24" max="24" width="39.5703125" style="25" customWidth="1"/>
    <col min="25" max="25" width="14.140625" style="29" customWidth="1"/>
    <col min="26" max="26" width="8.85546875" style="25"/>
    <col min="27" max="27" width="21.28515625" style="30" customWidth="1"/>
    <col min="28" max="16384" width="8.85546875" style="25"/>
  </cols>
  <sheetData>
    <row r="1" spans="2:28" ht="29.45" customHeight="1">
      <c r="B1" s="31" t="s">
        <v>0</v>
      </c>
      <c r="C1" s="32"/>
      <c r="D1" s="32"/>
      <c r="E1" s="33"/>
      <c r="F1" s="33"/>
      <c r="G1" s="32"/>
    </row>
    <row r="2" spans="2:28" ht="43.9" customHeight="1">
      <c r="B2" s="93" t="s">
        <v>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4" spans="2:28" ht="25.15" customHeight="1">
      <c r="B4" s="106" t="s">
        <v>2</v>
      </c>
      <c r="C4" s="111" t="s">
        <v>3</v>
      </c>
      <c r="D4" s="111" t="s">
        <v>4</v>
      </c>
      <c r="E4" s="117" t="s">
        <v>5</v>
      </c>
      <c r="F4" s="94" t="s">
        <v>6</v>
      </c>
      <c r="G4" s="94"/>
      <c r="H4" s="94"/>
      <c r="I4" s="94"/>
      <c r="J4" s="94"/>
      <c r="K4" s="94"/>
      <c r="L4" s="95"/>
      <c r="M4" s="96" t="s">
        <v>7</v>
      </c>
      <c r="N4" s="97"/>
      <c r="O4" s="97"/>
      <c r="P4" s="97"/>
      <c r="Q4" s="97"/>
      <c r="R4" s="98"/>
      <c r="S4" s="99" t="s">
        <v>8</v>
      </c>
      <c r="T4" s="99"/>
      <c r="U4" s="99"/>
      <c r="V4" s="99"/>
      <c r="W4" s="99"/>
      <c r="X4" s="100"/>
      <c r="Y4" s="25"/>
      <c r="AA4" s="25"/>
    </row>
    <row r="5" spans="2:28" s="22" customFormat="1">
      <c r="B5" s="107"/>
      <c r="C5" s="112"/>
      <c r="D5" s="112"/>
      <c r="E5" s="118"/>
      <c r="F5" s="34" t="s">
        <v>9</v>
      </c>
      <c r="G5" s="34" t="s">
        <v>10</v>
      </c>
      <c r="H5" s="34" t="s">
        <v>11</v>
      </c>
      <c r="I5" s="34" t="s">
        <v>12</v>
      </c>
      <c r="J5" s="34" t="s">
        <v>13</v>
      </c>
      <c r="K5" s="34" t="s">
        <v>14</v>
      </c>
      <c r="L5" s="49" t="s">
        <v>15</v>
      </c>
      <c r="M5" s="50" t="s">
        <v>10</v>
      </c>
      <c r="N5" s="50" t="s">
        <v>16</v>
      </c>
      <c r="O5" s="50" t="s">
        <v>12</v>
      </c>
      <c r="P5" s="51" t="s">
        <v>13</v>
      </c>
      <c r="Q5" s="75" t="s">
        <v>14</v>
      </c>
      <c r="R5" s="76" t="s">
        <v>15</v>
      </c>
      <c r="S5" s="34" t="s">
        <v>10</v>
      </c>
      <c r="T5" s="34" t="s">
        <v>16</v>
      </c>
      <c r="U5" s="34" t="s">
        <v>12</v>
      </c>
      <c r="V5" s="49" t="s">
        <v>13</v>
      </c>
      <c r="W5" s="77" t="s">
        <v>14</v>
      </c>
      <c r="X5" s="49" t="s">
        <v>15</v>
      </c>
      <c r="Y5" s="25"/>
      <c r="Z5" s="25"/>
      <c r="AA5" s="25"/>
      <c r="AB5" s="25"/>
    </row>
    <row r="6" spans="2:28" s="22" customFormat="1" ht="51.95" customHeight="1">
      <c r="B6" s="108">
        <v>1</v>
      </c>
      <c r="C6" s="108" t="s">
        <v>17</v>
      </c>
      <c r="D6" s="113" t="s">
        <v>18</v>
      </c>
      <c r="E6" s="35">
        <v>147000</v>
      </c>
      <c r="F6" s="119">
        <f>29+12</f>
        <v>41</v>
      </c>
      <c r="G6" s="124"/>
      <c r="H6" s="128">
        <f>8+30</f>
        <v>38</v>
      </c>
      <c r="I6" s="52"/>
      <c r="J6" s="52">
        <v>2</v>
      </c>
      <c r="K6" s="52">
        <f>E6*J6</f>
        <v>294000</v>
      </c>
      <c r="L6" s="53"/>
      <c r="M6" s="133"/>
      <c r="N6" s="136">
        <f>11+21</f>
        <v>32</v>
      </c>
      <c r="O6" s="133"/>
      <c r="P6" s="137">
        <f>H6+M6-N6-O6</f>
        <v>6</v>
      </c>
      <c r="Q6" s="137">
        <f>P6*E6</f>
        <v>882000</v>
      </c>
      <c r="R6" s="74"/>
      <c r="S6" s="119"/>
      <c r="T6" s="119">
        <v>22</v>
      </c>
      <c r="U6" s="119"/>
      <c r="V6" s="78">
        <v>10</v>
      </c>
      <c r="W6" s="78">
        <f>V6*E6</f>
        <v>1470000</v>
      </c>
      <c r="X6" s="49"/>
      <c r="Y6" s="92"/>
      <c r="Z6" s="25"/>
      <c r="AA6" s="25"/>
      <c r="AB6" s="25"/>
    </row>
    <row r="7" spans="2:28" s="23" customFormat="1" ht="51.95" customHeight="1">
      <c r="B7" s="108"/>
      <c r="C7" s="108"/>
      <c r="D7" s="113"/>
      <c r="E7" s="37">
        <v>117000</v>
      </c>
      <c r="F7" s="119"/>
      <c r="G7" s="124"/>
      <c r="H7" s="128"/>
      <c r="I7" s="52">
        <v>0</v>
      </c>
      <c r="J7" s="52">
        <v>1</v>
      </c>
      <c r="K7" s="52">
        <f>J7*E7</f>
        <v>117000</v>
      </c>
      <c r="L7" s="55"/>
      <c r="M7" s="133"/>
      <c r="N7" s="136"/>
      <c r="O7" s="139"/>
      <c r="P7" s="138"/>
      <c r="Q7" s="138"/>
      <c r="R7" s="74"/>
      <c r="S7" s="119"/>
      <c r="T7" s="119"/>
      <c r="U7" s="119"/>
      <c r="V7" s="78"/>
      <c r="W7" s="78">
        <f>E7*V7</f>
        <v>0</v>
      </c>
      <c r="X7" s="79"/>
      <c r="Y7" s="25"/>
      <c r="Z7" s="25"/>
      <c r="AA7" s="25"/>
      <c r="AB7" s="25"/>
    </row>
    <row r="8" spans="2:28" s="24" customFormat="1" ht="45.2" customHeight="1">
      <c r="B8" s="38">
        <v>2</v>
      </c>
      <c r="C8" s="38" t="s">
        <v>19</v>
      </c>
      <c r="D8" s="39" t="s">
        <v>20</v>
      </c>
      <c r="E8" s="40">
        <v>70400</v>
      </c>
      <c r="F8" s="36">
        <v>0</v>
      </c>
      <c r="G8" s="41">
        <v>10</v>
      </c>
      <c r="H8" s="36">
        <v>7</v>
      </c>
      <c r="I8" s="36"/>
      <c r="J8" s="36">
        <f>F8+G8-H8-I8</f>
        <v>3</v>
      </c>
      <c r="K8" s="36">
        <f>E8*J8</f>
        <v>211200</v>
      </c>
      <c r="L8" s="57"/>
      <c r="M8" s="58"/>
      <c r="N8" s="59">
        <f>6</f>
        <v>6</v>
      </c>
      <c r="O8" s="56"/>
      <c r="P8" s="59">
        <f>H8+M8-N8-O8</f>
        <v>1</v>
      </c>
      <c r="Q8" s="59">
        <f>P8*E8</f>
        <v>70400</v>
      </c>
      <c r="R8" s="38"/>
      <c r="S8" s="34"/>
      <c r="T8" s="36">
        <v>6</v>
      </c>
      <c r="U8" s="36"/>
      <c r="V8" s="80">
        <f>N8+S8-T8-U8</f>
        <v>0</v>
      </c>
      <c r="W8" s="81">
        <f>V8*E8</f>
        <v>0</v>
      </c>
      <c r="X8" s="62"/>
      <c r="Y8" s="25"/>
      <c r="Z8" s="25"/>
      <c r="AA8" s="25"/>
      <c r="AB8" s="25"/>
    </row>
    <row r="9" spans="2:28" s="24" customFormat="1" ht="45.2" customHeight="1">
      <c r="B9" s="109">
        <v>3</v>
      </c>
      <c r="C9" s="109" t="s">
        <v>21</v>
      </c>
      <c r="D9" s="114" t="s">
        <v>22</v>
      </c>
      <c r="E9" s="40">
        <v>147000</v>
      </c>
      <c r="F9" s="119">
        <f>10+9</f>
        <v>19</v>
      </c>
      <c r="G9" s="125"/>
      <c r="H9" s="128">
        <f>7+9</f>
        <v>16</v>
      </c>
      <c r="I9" s="128"/>
      <c r="J9" s="129">
        <f>F9+G9-H9-I9</f>
        <v>3</v>
      </c>
      <c r="K9" s="128">
        <f>E9*J9</f>
        <v>441000</v>
      </c>
      <c r="L9" s="131"/>
      <c r="M9" s="134"/>
      <c r="N9" s="136">
        <f>10</f>
        <v>10</v>
      </c>
      <c r="O9" s="109"/>
      <c r="P9" s="137">
        <v>4</v>
      </c>
      <c r="Q9" s="137">
        <f>E9*P9</f>
        <v>588000</v>
      </c>
      <c r="R9" s="63"/>
      <c r="S9" s="119"/>
      <c r="T9" s="119">
        <v>7</v>
      </c>
      <c r="U9" s="119"/>
      <c r="V9" s="142">
        <f>N9-T9</f>
        <v>3</v>
      </c>
      <c r="W9" s="144">
        <f>V9*E9</f>
        <v>441000</v>
      </c>
      <c r="X9" s="62"/>
      <c r="Y9" s="25"/>
      <c r="Z9" s="25"/>
      <c r="AA9" s="25"/>
      <c r="AB9" s="25"/>
    </row>
    <row r="10" spans="2:28" s="24" customFormat="1" ht="45.2" customHeight="1">
      <c r="B10" s="108"/>
      <c r="C10" s="108"/>
      <c r="D10" s="115"/>
      <c r="E10" s="40">
        <v>117000</v>
      </c>
      <c r="F10" s="119"/>
      <c r="G10" s="125"/>
      <c r="H10" s="128"/>
      <c r="I10" s="128"/>
      <c r="J10" s="130"/>
      <c r="K10" s="128"/>
      <c r="L10" s="132"/>
      <c r="M10" s="135"/>
      <c r="N10" s="136"/>
      <c r="O10" s="110"/>
      <c r="P10" s="138"/>
      <c r="Q10" s="138"/>
      <c r="R10" s="38"/>
      <c r="S10" s="119"/>
      <c r="T10" s="119"/>
      <c r="U10" s="119"/>
      <c r="V10" s="143"/>
      <c r="W10" s="145"/>
      <c r="X10" s="62"/>
      <c r="Y10" s="25"/>
      <c r="Z10" s="25"/>
      <c r="AA10" s="25"/>
      <c r="AB10" s="25"/>
    </row>
    <row r="11" spans="2:28" s="24" customFormat="1" ht="45.2" customHeight="1">
      <c r="B11" s="38">
        <v>4</v>
      </c>
      <c r="C11" s="38" t="s">
        <v>23</v>
      </c>
      <c r="D11" s="39" t="s">
        <v>24</v>
      </c>
      <c r="E11" s="40">
        <v>23250</v>
      </c>
      <c r="F11" s="36">
        <v>13</v>
      </c>
      <c r="G11" s="42"/>
      <c r="H11" s="36">
        <f>8+1</f>
        <v>9</v>
      </c>
      <c r="I11" s="36"/>
      <c r="J11" s="36">
        <f>F11+G11-H11-I11</f>
        <v>4</v>
      </c>
      <c r="K11" s="36">
        <f t="shared" ref="K11:K22" si="0">E11*J11</f>
        <v>93000</v>
      </c>
      <c r="L11" s="62"/>
      <c r="M11" s="58"/>
      <c r="N11" s="59">
        <f>0</f>
        <v>0</v>
      </c>
      <c r="O11" s="63"/>
      <c r="P11" s="59">
        <f>H11+M11-N11-O11</f>
        <v>9</v>
      </c>
      <c r="Q11" s="59">
        <f>P11*E11</f>
        <v>209250</v>
      </c>
      <c r="R11" s="38"/>
      <c r="S11" s="34">
        <v>10</v>
      </c>
      <c r="T11" s="36">
        <v>10</v>
      </c>
      <c r="U11" s="36"/>
      <c r="V11" s="80">
        <f>N11+S11-T11-U11</f>
        <v>0</v>
      </c>
      <c r="W11" s="81">
        <f t="shared" ref="W11:W23" si="1">V11*E11</f>
        <v>0</v>
      </c>
      <c r="X11" s="62"/>
      <c r="Y11" s="25"/>
      <c r="Z11" s="25"/>
      <c r="AA11" s="25"/>
      <c r="AB11" s="25"/>
    </row>
    <row r="12" spans="2:28" s="24" customFormat="1" ht="45.2" customHeight="1">
      <c r="B12" s="38">
        <v>5</v>
      </c>
      <c r="C12" s="38" t="s">
        <v>25</v>
      </c>
      <c r="D12" s="39" t="s">
        <v>26</v>
      </c>
      <c r="E12" s="40">
        <v>76800</v>
      </c>
      <c r="F12" s="36">
        <v>28</v>
      </c>
      <c r="G12" s="42"/>
      <c r="H12" s="36">
        <v>24</v>
      </c>
      <c r="I12" s="36"/>
      <c r="J12" s="36">
        <f>F12+G12-H12-I12</f>
        <v>4</v>
      </c>
      <c r="K12" s="36">
        <f t="shared" si="0"/>
        <v>307200</v>
      </c>
      <c r="L12" s="55" t="s">
        <v>27</v>
      </c>
      <c r="M12" s="58"/>
      <c r="N12" s="59">
        <f>7+15+2</f>
        <v>24</v>
      </c>
      <c r="O12" s="63"/>
      <c r="P12" s="59">
        <f>H12+M12-N12-O12</f>
        <v>0</v>
      </c>
      <c r="Q12" s="59">
        <f>P12*E12</f>
        <v>0</v>
      </c>
      <c r="R12" s="58"/>
      <c r="S12" s="34"/>
      <c r="T12" s="36">
        <v>20</v>
      </c>
      <c r="U12" s="36"/>
      <c r="V12" s="80">
        <f>N12+S12-T12-U12</f>
        <v>4</v>
      </c>
      <c r="W12" s="81">
        <f t="shared" si="1"/>
        <v>307200</v>
      </c>
      <c r="X12" s="62"/>
      <c r="Y12" s="25"/>
      <c r="Z12" s="25"/>
      <c r="AA12" s="25"/>
      <c r="AB12" s="25"/>
    </row>
    <row r="13" spans="2:28" s="24" customFormat="1" ht="45.2" customHeight="1">
      <c r="B13" s="109">
        <v>6</v>
      </c>
      <c r="C13" s="109" t="s">
        <v>28</v>
      </c>
      <c r="D13" s="109" t="s">
        <v>29</v>
      </c>
      <c r="E13" s="40">
        <v>147000</v>
      </c>
      <c r="F13" s="120">
        <v>0</v>
      </c>
      <c r="G13" s="125">
        <v>30</v>
      </c>
      <c r="H13" s="128">
        <f>1+29</f>
        <v>30</v>
      </c>
      <c r="I13" s="128"/>
      <c r="J13" s="52">
        <f>F13+G13-H13</f>
        <v>0</v>
      </c>
      <c r="K13" s="52">
        <f t="shared" si="0"/>
        <v>0</v>
      </c>
      <c r="L13" s="64"/>
      <c r="M13" s="134"/>
      <c r="N13" s="137">
        <f>5+13</f>
        <v>18</v>
      </c>
      <c r="O13" s="137">
        <v>1</v>
      </c>
      <c r="P13" s="65">
        <v>10</v>
      </c>
      <c r="Q13" s="65">
        <f>P13*E13</f>
        <v>1470000</v>
      </c>
      <c r="R13" s="58" t="s">
        <v>30</v>
      </c>
      <c r="S13" s="119"/>
      <c r="T13" s="120">
        <v>9</v>
      </c>
      <c r="U13" s="119"/>
      <c r="V13" s="83">
        <f>N13-T13</f>
        <v>9</v>
      </c>
      <c r="W13" s="84">
        <f t="shared" si="1"/>
        <v>1323000</v>
      </c>
      <c r="X13" s="57"/>
      <c r="Y13" s="25"/>
      <c r="Z13" s="25"/>
      <c r="AA13" s="25"/>
      <c r="AB13" s="25"/>
    </row>
    <row r="14" spans="2:28" s="24" customFormat="1" ht="45.2" customHeight="1">
      <c r="B14" s="110"/>
      <c r="C14" s="110"/>
      <c r="D14" s="116"/>
      <c r="E14" s="40">
        <v>117000</v>
      </c>
      <c r="F14" s="121"/>
      <c r="G14" s="125"/>
      <c r="H14" s="128"/>
      <c r="I14" s="128"/>
      <c r="J14" s="52"/>
      <c r="K14" s="52">
        <f t="shared" si="0"/>
        <v>0</v>
      </c>
      <c r="L14" s="53"/>
      <c r="M14" s="135"/>
      <c r="N14" s="138"/>
      <c r="O14" s="138"/>
      <c r="P14" s="66">
        <f>H13-N13-O13-P13</f>
        <v>1</v>
      </c>
      <c r="Q14" s="66">
        <f>P14*E14</f>
        <v>117000</v>
      </c>
      <c r="R14" s="38"/>
      <c r="S14" s="119"/>
      <c r="T14" s="121"/>
      <c r="U14" s="119"/>
      <c r="V14" s="85">
        <v>0</v>
      </c>
      <c r="W14" s="84">
        <f t="shared" si="1"/>
        <v>0</v>
      </c>
      <c r="X14" s="57"/>
      <c r="Y14" s="25"/>
      <c r="Z14" s="25"/>
      <c r="AA14" s="25"/>
      <c r="AB14" s="25"/>
    </row>
    <row r="15" spans="2:28" s="24" customFormat="1" ht="45.2" customHeight="1">
      <c r="B15" s="38">
        <v>7</v>
      </c>
      <c r="C15" s="38" t="s">
        <v>31</v>
      </c>
      <c r="D15" s="39" t="s">
        <v>32</v>
      </c>
      <c r="E15" s="40">
        <v>52800</v>
      </c>
      <c r="F15" s="36">
        <f>9+3</f>
        <v>12</v>
      </c>
      <c r="G15" s="42"/>
      <c r="H15" s="36">
        <f>5+1+4</f>
        <v>10</v>
      </c>
      <c r="I15" s="36"/>
      <c r="J15" s="36">
        <f t="shared" ref="J15:J21" si="2">F15+G15-H15-I15</f>
        <v>2</v>
      </c>
      <c r="K15" s="36">
        <f t="shared" si="0"/>
        <v>105600</v>
      </c>
      <c r="L15" s="62"/>
      <c r="M15" s="58"/>
      <c r="N15" s="59">
        <v>3</v>
      </c>
      <c r="O15" s="63"/>
      <c r="P15" s="59">
        <f t="shared" ref="P15:P22" si="3">H15+M15-N15-O15</f>
        <v>7</v>
      </c>
      <c r="Q15" s="59">
        <f t="shared" ref="Q15:Q22" si="4">P15*E15</f>
        <v>369600</v>
      </c>
      <c r="R15" s="38"/>
      <c r="S15" s="34">
        <v>10</v>
      </c>
      <c r="T15" s="36">
        <v>11</v>
      </c>
      <c r="U15" s="36"/>
      <c r="V15" s="80">
        <f t="shared" ref="V15:V21" si="5">N15+S15-T15-U15</f>
        <v>2</v>
      </c>
      <c r="W15" s="81">
        <f t="shared" si="1"/>
        <v>105600</v>
      </c>
      <c r="X15" s="62"/>
      <c r="Y15" s="25"/>
      <c r="Z15" s="25"/>
      <c r="AA15" s="25"/>
      <c r="AB15" s="25"/>
    </row>
    <row r="16" spans="2:28" s="24" customFormat="1" ht="45.2" customHeight="1">
      <c r="B16" s="38">
        <v>8</v>
      </c>
      <c r="C16" s="38" t="s">
        <v>33</v>
      </c>
      <c r="D16" s="39" t="s">
        <v>34</v>
      </c>
      <c r="E16" s="40">
        <v>58400</v>
      </c>
      <c r="F16" s="36">
        <f>9+23</f>
        <v>32</v>
      </c>
      <c r="G16" s="42"/>
      <c r="H16" s="36">
        <f>17+2+3+1</f>
        <v>23</v>
      </c>
      <c r="I16" s="36"/>
      <c r="J16" s="36">
        <f t="shared" si="2"/>
        <v>9</v>
      </c>
      <c r="K16" s="36">
        <f t="shared" si="0"/>
        <v>525600</v>
      </c>
      <c r="L16" s="55"/>
      <c r="M16" s="58"/>
      <c r="N16" s="59">
        <f>1+17+4</f>
        <v>22</v>
      </c>
      <c r="O16" s="59"/>
      <c r="P16" s="59">
        <f t="shared" si="3"/>
        <v>1</v>
      </c>
      <c r="Q16" s="59">
        <f t="shared" si="4"/>
        <v>58400</v>
      </c>
      <c r="R16" s="54"/>
      <c r="S16" s="34"/>
      <c r="T16" s="36">
        <v>15</v>
      </c>
      <c r="U16" s="36">
        <v>5</v>
      </c>
      <c r="V16" s="80">
        <f t="shared" si="5"/>
        <v>2</v>
      </c>
      <c r="W16" s="81">
        <f t="shared" si="1"/>
        <v>116800</v>
      </c>
      <c r="X16" s="79" t="s">
        <v>35</v>
      </c>
      <c r="Y16" s="25"/>
      <c r="Z16" s="25"/>
      <c r="AA16" s="25"/>
      <c r="AB16" s="25"/>
    </row>
    <row r="17" spans="2:28" s="24" customFormat="1" ht="45.2" customHeight="1">
      <c r="B17" s="38">
        <v>9</v>
      </c>
      <c r="C17" s="38" t="s">
        <v>36</v>
      </c>
      <c r="D17" s="39" t="s">
        <v>37</v>
      </c>
      <c r="E17" s="40">
        <v>112800</v>
      </c>
      <c r="F17" s="36">
        <f>19</f>
        <v>19</v>
      </c>
      <c r="G17" s="42"/>
      <c r="H17" s="36">
        <f>9+9</f>
        <v>18</v>
      </c>
      <c r="I17" s="36"/>
      <c r="J17" s="36">
        <f t="shared" si="2"/>
        <v>1</v>
      </c>
      <c r="K17" s="36">
        <f t="shared" si="0"/>
        <v>112800</v>
      </c>
      <c r="L17" s="62"/>
      <c r="M17" s="58"/>
      <c r="N17" s="59">
        <f>8+9</f>
        <v>17</v>
      </c>
      <c r="O17" s="63"/>
      <c r="P17" s="59">
        <f t="shared" si="3"/>
        <v>1</v>
      </c>
      <c r="Q17" s="59">
        <f t="shared" si="4"/>
        <v>112800</v>
      </c>
      <c r="R17" s="38"/>
      <c r="S17" s="34"/>
      <c r="T17" s="36">
        <v>16</v>
      </c>
      <c r="U17" s="36"/>
      <c r="V17" s="80">
        <f t="shared" si="5"/>
        <v>1</v>
      </c>
      <c r="W17" s="81">
        <f t="shared" si="1"/>
        <v>112800</v>
      </c>
      <c r="X17" s="62"/>
      <c r="Y17" s="25"/>
      <c r="Z17" s="25"/>
      <c r="AA17" s="25"/>
      <c r="AB17" s="25"/>
    </row>
    <row r="18" spans="2:28" s="24" customFormat="1" ht="45.2" customHeight="1">
      <c r="B18" s="38">
        <v>10</v>
      </c>
      <c r="C18" s="38" t="s">
        <v>38</v>
      </c>
      <c r="D18" s="39" t="s">
        <v>39</v>
      </c>
      <c r="E18" s="40">
        <v>50400</v>
      </c>
      <c r="F18" s="36">
        <v>5</v>
      </c>
      <c r="G18" s="42"/>
      <c r="H18" s="36">
        <f>2+3</f>
        <v>5</v>
      </c>
      <c r="I18" s="36"/>
      <c r="J18" s="36">
        <f t="shared" si="2"/>
        <v>0</v>
      </c>
      <c r="K18" s="36">
        <f t="shared" si="0"/>
        <v>0</v>
      </c>
      <c r="L18" s="62"/>
      <c r="M18" s="58"/>
      <c r="N18" s="59">
        <f>2+3</f>
        <v>5</v>
      </c>
      <c r="O18" s="63"/>
      <c r="P18" s="59">
        <f t="shared" si="3"/>
        <v>0</v>
      </c>
      <c r="Q18" s="59">
        <f t="shared" si="4"/>
        <v>0</v>
      </c>
      <c r="R18" s="38"/>
      <c r="S18" s="34"/>
      <c r="T18" s="36">
        <v>4</v>
      </c>
      <c r="U18" s="36"/>
      <c r="V18" s="80">
        <f t="shared" si="5"/>
        <v>1</v>
      </c>
      <c r="W18" s="81">
        <f t="shared" si="1"/>
        <v>50400</v>
      </c>
      <c r="X18" s="62"/>
      <c r="Y18" s="25"/>
      <c r="Z18" s="25"/>
      <c r="AA18" s="25"/>
      <c r="AB18" s="25"/>
    </row>
    <row r="19" spans="2:28" s="24" customFormat="1" ht="45.2" customHeight="1">
      <c r="B19" s="38">
        <v>11</v>
      </c>
      <c r="C19" s="38" t="s">
        <v>40</v>
      </c>
      <c r="D19" s="39" t="s">
        <v>41</v>
      </c>
      <c r="E19" s="40">
        <v>69750</v>
      </c>
      <c r="F19" s="36">
        <v>17</v>
      </c>
      <c r="G19" s="42"/>
      <c r="H19" s="36">
        <f>8+5</f>
        <v>13</v>
      </c>
      <c r="I19" s="36"/>
      <c r="J19" s="36">
        <f t="shared" si="2"/>
        <v>4</v>
      </c>
      <c r="K19" s="36">
        <f t="shared" si="0"/>
        <v>279000</v>
      </c>
      <c r="L19" s="62"/>
      <c r="M19" s="58"/>
      <c r="N19" s="59">
        <f>6+1+5</f>
        <v>12</v>
      </c>
      <c r="O19" s="59">
        <v>1</v>
      </c>
      <c r="P19" s="59">
        <f t="shared" si="3"/>
        <v>0</v>
      </c>
      <c r="Q19" s="59">
        <f t="shared" si="4"/>
        <v>0</v>
      </c>
      <c r="R19" s="79" t="s">
        <v>42</v>
      </c>
      <c r="S19" s="34"/>
      <c r="T19" s="36">
        <f>4+7+1</f>
        <v>12</v>
      </c>
      <c r="U19" s="36"/>
      <c r="V19" s="80">
        <f t="shared" si="5"/>
        <v>0</v>
      </c>
      <c r="W19" s="81">
        <f t="shared" si="1"/>
        <v>0</v>
      </c>
      <c r="X19" s="79"/>
      <c r="Y19" s="25"/>
      <c r="Z19" s="25"/>
      <c r="AA19" s="25"/>
      <c r="AB19" s="25"/>
    </row>
    <row r="20" spans="2:28" ht="45.2" customHeight="1">
      <c r="B20" s="38">
        <v>12</v>
      </c>
      <c r="C20" s="38" t="s">
        <v>43</v>
      </c>
      <c r="D20" s="39" t="s">
        <v>44</v>
      </c>
      <c r="E20" s="40">
        <v>73500</v>
      </c>
      <c r="F20" s="36">
        <v>7</v>
      </c>
      <c r="G20" s="44">
        <v>10</v>
      </c>
      <c r="H20" s="36">
        <f>1+10+4</f>
        <v>15</v>
      </c>
      <c r="I20" s="36"/>
      <c r="J20" s="36">
        <f t="shared" si="2"/>
        <v>2</v>
      </c>
      <c r="K20" s="36">
        <f t="shared" si="0"/>
        <v>147000</v>
      </c>
      <c r="L20" s="67"/>
      <c r="M20" s="58"/>
      <c r="N20" s="59">
        <f>2+5+1+4</f>
        <v>12</v>
      </c>
      <c r="O20" s="59">
        <v>1</v>
      </c>
      <c r="P20" s="59">
        <f t="shared" si="3"/>
        <v>2</v>
      </c>
      <c r="Q20" s="59">
        <f t="shared" si="4"/>
        <v>147000</v>
      </c>
      <c r="R20" s="79" t="s">
        <v>42</v>
      </c>
      <c r="S20" s="34"/>
      <c r="T20" s="36">
        <v>12</v>
      </c>
      <c r="U20" s="36"/>
      <c r="V20" s="80">
        <f t="shared" si="5"/>
        <v>0</v>
      </c>
      <c r="W20" s="81">
        <f t="shared" si="1"/>
        <v>0</v>
      </c>
      <c r="X20" s="79"/>
      <c r="Y20" s="25"/>
      <c r="AA20" s="25"/>
    </row>
    <row r="21" spans="2:28" ht="45.2" customHeight="1">
      <c r="B21" s="38">
        <v>13</v>
      </c>
      <c r="C21" s="38" t="s">
        <v>45</v>
      </c>
      <c r="D21" s="39" t="s">
        <v>46</v>
      </c>
      <c r="E21" s="40">
        <v>52400</v>
      </c>
      <c r="F21" s="45">
        <v>15</v>
      </c>
      <c r="G21" s="46"/>
      <c r="H21" s="45">
        <f>8+6</f>
        <v>14</v>
      </c>
      <c r="I21" s="68"/>
      <c r="J21" s="36">
        <f t="shared" si="2"/>
        <v>1</v>
      </c>
      <c r="K21" s="36"/>
      <c r="L21" s="53"/>
      <c r="M21" s="58"/>
      <c r="N21" s="59">
        <f>5+6</f>
        <v>11</v>
      </c>
      <c r="O21" s="59"/>
      <c r="P21" s="59">
        <f t="shared" si="3"/>
        <v>3</v>
      </c>
      <c r="Q21" s="59">
        <f t="shared" si="4"/>
        <v>157200</v>
      </c>
      <c r="R21" s="86"/>
      <c r="S21" s="34"/>
      <c r="T21" s="45">
        <v>10</v>
      </c>
      <c r="U21" s="68"/>
      <c r="V21" s="80">
        <f t="shared" si="5"/>
        <v>1</v>
      </c>
      <c r="W21" s="81">
        <f t="shared" si="1"/>
        <v>52400</v>
      </c>
      <c r="X21" s="53"/>
      <c r="Y21" s="25"/>
      <c r="AA21" s="25"/>
      <c r="AB21" s="24"/>
    </row>
    <row r="22" spans="2:28" ht="81.400000000000006" customHeight="1">
      <c r="B22" s="109">
        <v>14</v>
      </c>
      <c r="C22" s="109" t="s">
        <v>47</v>
      </c>
      <c r="D22" s="114" t="s">
        <v>48</v>
      </c>
      <c r="E22" s="40">
        <v>53200</v>
      </c>
      <c r="F22" s="122">
        <v>28</v>
      </c>
      <c r="G22" s="126">
        <v>20</v>
      </c>
      <c r="H22" s="122">
        <f>4+9+13</f>
        <v>26</v>
      </c>
      <c r="I22" s="69">
        <v>6</v>
      </c>
      <c r="J22" s="36"/>
      <c r="K22" s="52">
        <f t="shared" si="0"/>
        <v>0</v>
      </c>
      <c r="L22" s="55" t="s">
        <v>49</v>
      </c>
      <c r="M22" s="134"/>
      <c r="N22" s="137">
        <f>4</f>
        <v>4</v>
      </c>
      <c r="O22" s="59">
        <v>22</v>
      </c>
      <c r="P22" s="59">
        <f t="shared" si="3"/>
        <v>0</v>
      </c>
      <c r="Q22" s="59">
        <f t="shared" si="4"/>
        <v>0</v>
      </c>
      <c r="R22" s="87" t="s">
        <v>50</v>
      </c>
      <c r="S22" s="140">
        <v>50</v>
      </c>
      <c r="T22" s="122">
        <v>22</v>
      </c>
      <c r="U22" s="45">
        <v>22</v>
      </c>
      <c r="V22" s="80"/>
      <c r="W22" s="81">
        <f t="shared" si="1"/>
        <v>0</v>
      </c>
      <c r="X22" s="53" t="s">
        <v>51</v>
      </c>
      <c r="Y22" s="25"/>
      <c r="AA22" s="25"/>
      <c r="AB22" s="24"/>
    </row>
    <row r="23" spans="2:28" ht="45.2" customHeight="1">
      <c r="B23" s="110"/>
      <c r="C23" s="110"/>
      <c r="D23" s="115"/>
      <c r="E23" s="40">
        <v>70000</v>
      </c>
      <c r="F23" s="123"/>
      <c r="G23" s="127"/>
      <c r="H23" s="123"/>
      <c r="I23" s="69">
        <v>8</v>
      </c>
      <c r="J23" s="52">
        <f>F22+G22-H22-I22-I23</f>
        <v>8</v>
      </c>
      <c r="K23" s="52">
        <f>J23*E23</f>
        <v>560000</v>
      </c>
      <c r="L23" s="53"/>
      <c r="M23" s="135"/>
      <c r="N23" s="138"/>
      <c r="O23" s="59"/>
      <c r="P23" s="59"/>
      <c r="Q23" s="59"/>
      <c r="R23" s="55" t="s">
        <v>52</v>
      </c>
      <c r="S23" s="141"/>
      <c r="T23" s="123"/>
      <c r="U23" s="45">
        <v>5</v>
      </c>
      <c r="V23" s="80">
        <f>N22+S22-T22-U22-U23</f>
        <v>5</v>
      </c>
      <c r="W23" s="81">
        <f t="shared" si="1"/>
        <v>350000</v>
      </c>
      <c r="X23" s="88"/>
      <c r="Y23" s="92"/>
      <c r="AA23" s="25"/>
      <c r="AB23" s="24"/>
    </row>
    <row r="24" spans="2:28" ht="42" customHeight="1">
      <c r="B24" s="101" t="s">
        <v>53</v>
      </c>
      <c r="C24" s="102"/>
      <c r="D24" s="102"/>
      <c r="E24" s="103"/>
      <c r="F24" s="47"/>
      <c r="G24" s="45"/>
      <c r="H24" s="48"/>
      <c r="I24" s="48"/>
      <c r="J24" s="70">
        <f>SUM(J6:J23)</f>
        <v>44</v>
      </c>
      <c r="K24" s="48">
        <f>SUM(K6:K23)</f>
        <v>3193400</v>
      </c>
      <c r="L24" s="71"/>
      <c r="M24" s="61"/>
      <c r="N24" s="72"/>
      <c r="O24" s="73"/>
      <c r="P24" s="73">
        <f>SUM(P6:P23)</f>
        <v>45</v>
      </c>
      <c r="Q24" s="89">
        <f>SUM(Q6:Q23)</f>
        <v>4181650</v>
      </c>
      <c r="R24" s="90"/>
      <c r="S24" s="43"/>
      <c r="T24" s="47"/>
      <c r="U24" s="48"/>
      <c r="V24" s="91"/>
      <c r="W24" s="82">
        <f>SUM(W6:W23)</f>
        <v>4329200</v>
      </c>
      <c r="X24" s="60"/>
      <c r="Y24" s="25"/>
      <c r="AA24" s="25"/>
    </row>
    <row r="25" spans="2:28" ht="54.95" customHeight="1">
      <c r="B25" s="104" t="s">
        <v>54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5">
        <f>K24+Q24+W24</f>
        <v>11704250</v>
      </c>
      <c r="T25" s="105"/>
      <c r="U25" s="105"/>
      <c r="V25" s="105"/>
      <c r="W25" s="105"/>
      <c r="X25" s="105"/>
      <c r="Y25" s="25"/>
      <c r="AA25" s="25"/>
    </row>
    <row r="28" spans="2:28">
      <c r="Q28" s="92"/>
    </row>
    <row r="30" spans="2:28">
      <c r="P30" s="74"/>
    </row>
  </sheetData>
  <mergeCells count="68">
    <mergeCell ref="U6:U7"/>
    <mergeCell ref="U9:U10"/>
    <mergeCell ref="U13:U14"/>
    <mergeCell ref="V9:V10"/>
    <mergeCell ref="W9:W10"/>
    <mergeCell ref="S22:S23"/>
    <mergeCell ref="T6:T7"/>
    <mergeCell ref="T9:T10"/>
    <mergeCell ref="T13:T14"/>
    <mergeCell ref="T22:T23"/>
    <mergeCell ref="Q6:Q7"/>
    <mergeCell ref="Q9:Q10"/>
    <mergeCell ref="S6:S7"/>
    <mergeCell ref="S9:S10"/>
    <mergeCell ref="S13:S14"/>
    <mergeCell ref="O6:O7"/>
    <mergeCell ref="O9:O10"/>
    <mergeCell ref="O13:O14"/>
    <mergeCell ref="P6:P7"/>
    <mergeCell ref="P9:P10"/>
    <mergeCell ref="M13:M14"/>
    <mergeCell ref="M22:M23"/>
    <mergeCell ref="N6:N7"/>
    <mergeCell ref="N9:N10"/>
    <mergeCell ref="N13:N14"/>
    <mergeCell ref="N22:N23"/>
    <mergeCell ref="J9:J10"/>
    <mergeCell ref="K9:K10"/>
    <mergeCell ref="L9:L10"/>
    <mergeCell ref="M6:M7"/>
    <mergeCell ref="M9:M10"/>
    <mergeCell ref="H9:H10"/>
    <mergeCell ref="H13:H14"/>
    <mergeCell ref="H22:H23"/>
    <mergeCell ref="I9:I10"/>
    <mergeCell ref="I13:I14"/>
    <mergeCell ref="B25:R25"/>
    <mergeCell ref="S25:X25"/>
    <mergeCell ref="B4:B5"/>
    <mergeCell ref="B6:B7"/>
    <mergeCell ref="B9:B10"/>
    <mergeCell ref="B13:B14"/>
    <mergeCell ref="B22:B23"/>
    <mergeCell ref="C4:C5"/>
    <mergeCell ref="C6:C7"/>
    <mergeCell ref="C9:C10"/>
    <mergeCell ref="C13:C14"/>
    <mergeCell ref="C22:C23"/>
    <mergeCell ref="D4:D5"/>
    <mergeCell ref="D6:D7"/>
    <mergeCell ref="D9:D10"/>
    <mergeCell ref="D13:D14"/>
    <mergeCell ref="B2:Z2"/>
    <mergeCell ref="F4:L4"/>
    <mergeCell ref="M4:R4"/>
    <mergeCell ref="S4:X4"/>
    <mergeCell ref="B24:E24"/>
    <mergeCell ref="D22:D23"/>
    <mergeCell ref="E4:E5"/>
    <mergeCell ref="F6:F7"/>
    <mergeCell ref="F9:F10"/>
    <mergeCell ref="F13:F14"/>
    <mergeCell ref="F22:F23"/>
    <mergeCell ref="G6:G7"/>
    <mergeCell ref="G9:G10"/>
    <mergeCell ref="G13:G14"/>
    <mergeCell ref="G22:G23"/>
    <mergeCell ref="H6:H7"/>
  </mergeCells>
  <pageMargins left="0.19" right="0.21" top="0.41" bottom="0.33" header="0.3" footer="0.3"/>
  <pageSetup paperSize="9" scale="53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7"/>
  <sheetViews>
    <sheetView workbookViewId="0">
      <pane xSplit="2" topLeftCell="C1" activePane="topRight" state="frozen"/>
      <selection pane="topRight" activeCell="E12" sqref="E12"/>
    </sheetView>
  </sheetViews>
  <sheetFormatPr defaultColWidth="9" defaultRowHeight="15"/>
  <cols>
    <col min="1" max="1" width="9" style="1"/>
    <col min="2" max="2" width="23.42578125" style="1" customWidth="1"/>
    <col min="3" max="3" width="18" style="1" customWidth="1"/>
    <col min="4" max="4" width="15" style="1" customWidth="1"/>
    <col min="5" max="5" width="17.28515625" style="1" customWidth="1"/>
    <col min="6" max="6" width="13" style="1" customWidth="1"/>
    <col min="7" max="7" width="13.42578125" style="1" customWidth="1"/>
    <col min="8" max="8" width="11.7109375" style="1" customWidth="1"/>
    <col min="9" max="15" width="9" style="1"/>
    <col min="16" max="16" width="12.28515625" style="1" customWidth="1"/>
    <col min="17" max="16384" width="9" style="1"/>
  </cols>
  <sheetData>
    <row r="4" spans="2:7" ht="22.5">
      <c r="B4" s="146" t="s">
        <v>55</v>
      </c>
      <c r="C4" s="146"/>
      <c r="D4" s="146"/>
      <c r="E4" s="146"/>
      <c r="F4" s="146"/>
      <c r="G4" s="146"/>
    </row>
    <row r="5" spans="2:7">
      <c r="B5" s="3" t="s">
        <v>4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</row>
    <row r="6" spans="2:7">
      <c r="B6" s="5" t="s">
        <v>18</v>
      </c>
      <c r="C6" s="18">
        <v>1</v>
      </c>
      <c r="D6" s="19">
        <v>1</v>
      </c>
      <c r="E6" s="18">
        <v>1</v>
      </c>
      <c r="F6" s="20">
        <v>111058</v>
      </c>
      <c r="G6" s="20">
        <f t="shared" ref="G6:G14" si="0">(C6+D6+E6)*F6</f>
        <v>333174</v>
      </c>
    </row>
    <row r="7" spans="2:7">
      <c r="B7" s="5" t="s">
        <v>22</v>
      </c>
      <c r="C7" s="19">
        <v>1</v>
      </c>
      <c r="D7" s="19">
        <v>1</v>
      </c>
      <c r="E7" s="19">
        <v>1</v>
      </c>
      <c r="F7" s="20">
        <v>111606</v>
      </c>
      <c r="G7" s="20">
        <f t="shared" si="0"/>
        <v>334818</v>
      </c>
    </row>
    <row r="8" spans="2:7">
      <c r="B8" s="5" t="s">
        <v>26</v>
      </c>
      <c r="C8" s="19">
        <v>2</v>
      </c>
      <c r="D8" s="19">
        <v>1</v>
      </c>
      <c r="E8" s="19">
        <v>1</v>
      </c>
      <c r="F8" s="20">
        <v>73431</v>
      </c>
      <c r="G8" s="20">
        <f t="shared" si="0"/>
        <v>293724</v>
      </c>
    </row>
    <row r="9" spans="2:7">
      <c r="B9" s="5" t="s">
        <v>32</v>
      </c>
      <c r="C9" s="19">
        <v>1</v>
      </c>
      <c r="D9" s="19">
        <v>1</v>
      </c>
      <c r="E9" s="19">
        <v>1</v>
      </c>
      <c r="F9" s="20">
        <v>50183</v>
      </c>
      <c r="G9" s="20">
        <f t="shared" si="0"/>
        <v>150549</v>
      </c>
    </row>
    <row r="10" spans="2:7">
      <c r="B10" s="5" t="s">
        <v>34</v>
      </c>
      <c r="C10" s="19">
        <v>2</v>
      </c>
      <c r="D10" s="19">
        <v>1</v>
      </c>
      <c r="E10" s="19">
        <v>1</v>
      </c>
      <c r="F10" s="20">
        <v>55595</v>
      </c>
      <c r="G10" s="20">
        <f t="shared" si="0"/>
        <v>222380</v>
      </c>
    </row>
    <row r="11" spans="2:7">
      <c r="B11" s="5" t="s">
        <v>39</v>
      </c>
      <c r="C11" s="19">
        <v>1</v>
      </c>
      <c r="D11" s="19">
        <v>1</v>
      </c>
      <c r="E11" s="19">
        <v>1</v>
      </c>
      <c r="F11" s="20">
        <v>0</v>
      </c>
      <c r="G11" s="20">
        <f t="shared" si="0"/>
        <v>0</v>
      </c>
    </row>
    <row r="12" spans="2:7">
      <c r="B12" s="5" t="s">
        <v>61</v>
      </c>
      <c r="C12" s="19">
        <v>1</v>
      </c>
      <c r="D12" s="19">
        <v>1</v>
      </c>
      <c r="E12" s="19">
        <v>1</v>
      </c>
      <c r="F12" s="20">
        <v>74250</v>
      </c>
      <c r="G12" s="20">
        <f t="shared" si="0"/>
        <v>222750</v>
      </c>
    </row>
    <row r="13" spans="2:7">
      <c r="B13" s="5" t="s">
        <v>46</v>
      </c>
      <c r="C13" s="19">
        <v>1</v>
      </c>
      <c r="D13" s="19">
        <v>1</v>
      </c>
      <c r="E13" s="19">
        <v>1</v>
      </c>
      <c r="F13" s="20">
        <v>50400</v>
      </c>
      <c r="G13" s="20">
        <f t="shared" si="0"/>
        <v>151200</v>
      </c>
    </row>
    <row r="14" spans="2:7">
      <c r="B14" s="5" t="s">
        <v>62</v>
      </c>
      <c r="C14" s="19">
        <v>1</v>
      </c>
      <c r="D14" s="19">
        <v>2</v>
      </c>
      <c r="E14" s="19">
        <v>1</v>
      </c>
      <c r="F14" s="20">
        <v>49500</v>
      </c>
      <c r="G14" s="20">
        <f t="shared" si="0"/>
        <v>198000</v>
      </c>
    </row>
    <row r="15" spans="2:7" ht="20.25">
      <c r="B15" s="147" t="s">
        <v>53</v>
      </c>
      <c r="C15" s="147"/>
      <c r="D15" s="147"/>
      <c r="E15" s="147"/>
      <c r="F15" s="148">
        <f>SUM(G6:G14)</f>
        <v>1906595</v>
      </c>
      <c r="G15" s="149"/>
    </row>
    <row r="17" spans="2:2">
      <c r="B17" s="21"/>
    </row>
  </sheetData>
  <mergeCells count="3">
    <mergeCell ref="B4:G4"/>
    <mergeCell ref="B15:E15"/>
    <mergeCell ref="F15:G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O24"/>
  <sheetViews>
    <sheetView topLeftCell="C1" zoomScale="83" zoomScaleNormal="83" workbookViewId="0">
      <selection activeCell="G11" sqref="G11"/>
    </sheetView>
  </sheetViews>
  <sheetFormatPr defaultColWidth="8.85546875" defaultRowHeight="15"/>
  <cols>
    <col min="1" max="2" width="8.85546875" style="1"/>
    <col min="3" max="3" width="6.140625" style="1" customWidth="1"/>
    <col min="4" max="4" width="30.7109375" style="1" customWidth="1"/>
    <col min="5" max="5" width="15.42578125" style="1" customWidth="1"/>
    <col min="6" max="6" width="7.140625" style="1" customWidth="1"/>
    <col min="7" max="7" width="15.42578125" style="1" customWidth="1"/>
    <col min="8" max="8" width="34.140625" style="1" customWidth="1"/>
    <col min="9" max="10" width="8.85546875" style="1"/>
    <col min="11" max="11" width="15.28515625" style="1" customWidth="1"/>
    <col min="12" max="12" width="13.140625" style="1" customWidth="1"/>
    <col min="13" max="13" width="8.85546875" style="1"/>
    <col min="14" max="14" width="16.28515625" style="1" customWidth="1"/>
    <col min="15" max="15" width="16" style="1" customWidth="1"/>
    <col min="16" max="16384" width="8.85546875" style="1"/>
  </cols>
  <sheetData>
    <row r="2" spans="3:15">
      <c r="C2" s="150" t="s">
        <v>63</v>
      </c>
      <c r="D2" s="150"/>
      <c r="E2" s="150"/>
      <c r="F2" s="150"/>
      <c r="G2" s="150"/>
      <c r="H2" s="150"/>
      <c r="I2" s="150"/>
      <c r="K2" s="13"/>
    </row>
    <row r="3" spans="3:15">
      <c r="C3" s="2"/>
      <c r="D3" s="2"/>
      <c r="E3" s="2"/>
      <c r="F3" s="2"/>
      <c r="G3" s="2"/>
      <c r="H3" s="2"/>
      <c r="I3" s="2"/>
      <c r="K3" s="13"/>
    </row>
    <row r="4" spans="3:15" ht="25.15" customHeight="1">
      <c r="C4" s="151" t="s">
        <v>64</v>
      </c>
      <c r="D4" s="151"/>
      <c r="E4" s="151"/>
      <c r="F4" s="151"/>
      <c r="G4" s="151"/>
      <c r="H4" s="151"/>
      <c r="I4" s="14"/>
      <c r="J4" s="152" t="s">
        <v>65</v>
      </c>
      <c r="K4" s="153"/>
      <c r="L4" s="15">
        <f>5495000+3860000</f>
        <v>9355000</v>
      </c>
      <c r="M4" s="154" t="s">
        <v>66</v>
      </c>
      <c r="N4" s="154"/>
      <c r="O4" s="15">
        <f>'HỘI CHỢ CV DƯƠNG ĐÌNH NGHỆ'!S25</f>
        <v>11704250</v>
      </c>
    </row>
    <row r="5" spans="3:15" ht="26.25" customHeight="1">
      <c r="C5" s="3" t="s">
        <v>2</v>
      </c>
      <c r="D5" s="3" t="s">
        <v>67</v>
      </c>
      <c r="E5" s="3" t="s">
        <v>59</v>
      </c>
      <c r="F5" s="3" t="s">
        <v>68</v>
      </c>
      <c r="G5" s="3" t="s">
        <v>60</v>
      </c>
      <c r="H5" s="3" t="s">
        <v>69</v>
      </c>
      <c r="M5" s="155" t="s">
        <v>70</v>
      </c>
      <c r="N5" s="156"/>
      <c r="O5" s="6">
        <f>G10</f>
        <v>379000</v>
      </c>
    </row>
    <row r="6" spans="3:15" ht="56.45" customHeight="1">
      <c r="C6" s="4">
        <v>1</v>
      </c>
      <c r="D6" s="5" t="s">
        <v>71</v>
      </c>
      <c r="E6" s="6">
        <v>21000</v>
      </c>
      <c r="F6" s="5">
        <v>4</v>
      </c>
      <c r="G6" s="6">
        <f>E6*F6</f>
        <v>84000</v>
      </c>
      <c r="H6" s="7" t="s">
        <v>72</v>
      </c>
      <c r="M6" s="154" t="s">
        <v>73</v>
      </c>
      <c r="N6" s="154"/>
      <c r="O6" s="15">
        <f>O4-L4-O5</f>
        <v>1970250</v>
      </c>
    </row>
    <row r="7" spans="3:15" ht="26.25" customHeight="1">
      <c r="C7" s="4">
        <v>2</v>
      </c>
      <c r="D7" s="5" t="s">
        <v>74</v>
      </c>
      <c r="E7" s="6">
        <v>206000</v>
      </c>
      <c r="F7" s="5">
        <v>1</v>
      </c>
      <c r="G7" s="6">
        <v>206000</v>
      </c>
      <c r="H7" s="5"/>
    </row>
    <row r="8" spans="3:15" ht="29.1" customHeight="1">
      <c r="C8" s="4">
        <v>3</v>
      </c>
      <c r="D8" s="8" t="s">
        <v>75</v>
      </c>
      <c r="E8" s="6">
        <v>89000</v>
      </c>
      <c r="F8" s="5">
        <v>1</v>
      </c>
      <c r="G8" s="6">
        <f>E8*F8</f>
        <v>89000</v>
      </c>
      <c r="H8" s="7" t="s">
        <v>76</v>
      </c>
      <c r="N8" s="16"/>
    </row>
    <row r="9" spans="3:15">
      <c r="C9" s="4"/>
    </row>
    <row r="10" spans="3:15" ht="23.85" customHeight="1">
      <c r="C10" s="157" t="s">
        <v>53</v>
      </c>
      <c r="D10" s="157"/>
      <c r="E10" s="157"/>
      <c r="F10" s="157"/>
      <c r="G10" s="158">
        <f>SUM(G6:G8)</f>
        <v>379000</v>
      </c>
      <c r="H10" s="158"/>
    </row>
    <row r="11" spans="3:15" ht="23.85" customHeight="1">
      <c r="C11" s="9"/>
      <c r="D11" s="9"/>
      <c r="E11" s="9"/>
      <c r="F11" s="9"/>
      <c r="G11" s="10"/>
      <c r="H11" s="10"/>
      <c r="J11" s="17"/>
      <c r="K11" s="17"/>
    </row>
    <row r="12" spans="3:15" ht="23.85" customHeight="1">
      <c r="C12" s="11"/>
      <c r="D12" s="11"/>
      <c r="F12" s="11"/>
      <c r="H12" s="11"/>
      <c r="J12" s="17"/>
      <c r="K12" s="17"/>
    </row>
    <row r="13" spans="3:15" ht="23.85" customHeight="1">
      <c r="C13" s="11"/>
      <c r="D13" s="11"/>
      <c r="E13" s="11"/>
      <c r="F13" s="11"/>
      <c r="G13" s="12"/>
      <c r="H13" s="12"/>
      <c r="J13" s="17"/>
      <c r="K13" s="17"/>
    </row>
    <row r="14" spans="3:15" ht="23.85" customHeight="1">
      <c r="C14" s="11"/>
      <c r="D14" s="11"/>
      <c r="E14" s="11"/>
      <c r="F14" s="11"/>
      <c r="G14" s="12"/>
      <c r="H14" s="12"/>
      <c r="J14" s="17"/>
      <c r="K14" s="17"/>
    </row>
    <row r="15" spans="3:15" ht="23.85" customHeight="1">
      <c r="C15" s="11"/>
      <c r="D15" s="11"/>
      <c r="E15" s="11"/>
      <c r="F15" s="11"/>
      <c r="G15" s="12"/>
      <c r="H15" s="12"/>
      <c r="J15" s="17"/>
      <c r="K15" s="17"/>
      <c r="O15"/>
    </row>
    <row r="16" spans="3:15" ht="23.85" customHeight="1">
      <c r="C16" s="11"/>
      <c r="D16" s="11"/>
      <c r="E16" s="11"/>
      <c r="F16" s="11"/>
      <c r="G16" s="12"/>
      <c r="H16" s="12"/>
      <c r="O16"/>
    </row>
    <row r="17" spans="3:15" ht="15" customHeight="1">
      <c r="C17" s="11"/>
      <c r="D17" s="11"/>
      <c r="E17" s="11"/>
      <c r="F17" s="11"/>
      <c r="G17" s="11"/>
      <c r="H17" s="11"/>
      <c r="O17"/>
    </row>
    <row r="18" spans="3:15">
      <c r="C18" s="11"/>
      <c r="D18" s="11"/>
      <c r="E18" s="11"/>
      <c r="F18" s="11"/>
      <c r="G18" s="11"/>
      <c r="H18" s="11"/>
      <c r="O18"/>
    </row>
    <row r="19" spans="3:15">
      <c r="C19" s="11"/>
      <c r="D19" s="11"/>
      <c r="E19" s="11"/>
      <c r="F19" s="11"/>
      <c r="G19" s="11"/>
      <c r="H19" s="11"/>
      <c r="O19"/>
    </row>
    <row r="20" spans="3:15" ht="14.45" customHeight="1">
      <c r="C20" s="11"/>
      <c r="D20" s="11"/>
      <c r="E20" s="11"/>
      <c r="F20" s="11"/>
      <c r="G20" s="11"/>
      <c r="H20" s="11"/>
    </row>
    <row r="21" spans="3:15">
      <c r="C21" s="11"/>
      <c r="D21" s="11"/>
      <c r="E21" s="11"/>
      <c r="F21" s="11"/>
      <c r="G21" s="11"/>
      <c r="H21" s="11"/>
    </row>
    <row r="22" spans="3:15">
      <c r="C22" s="11"/>
      <c r="D22" s="11"/>
      <c r="E22" s="11"/>
      <c r="F22" s="11"/>
      <c r="G22" s="11"/>
      <c r="H22" s="11"/>
    </row>
    <row r="23" spans="3:15">
      <c r="C23" s="11"/>
      <c r="D23" s="11"/>
      <c r="E23" s="11"/>
      <c r="F23" s="11"/>
      <c r="G23" s="11"/>
      <c r="H23" s="11"/>
    </row>
    <row r="24" spans="3:15" ht="27.6" customHeight="1">
      <c r="C24" s="11"/>
      <c r="D24" s="11"/>
      <c r="E24" s="11"/>
      <c r="F24" s="11"/>
      <c r="G24" s="11"/>
      <c r="H24" s="11"/>
    </row>
  </sheetData>
  <mergeCells count="8">
    <mergeCell ref="M6:N6"/>
    <mergeCell ref="C10:F10"/>
    <mergeCell ref="G10:H10"/>
    <mergeCell ref="C2:I2"/>
    <mergeCell ref="C4:H4"/>
    <mergeCell ref="J4:K4"/>
    <mergeCell ref="M4:N4"/>
    <mergeCell ref="M5:N5"/>
  </mergeCells>
  <pageMargins left="0.7" right="0.7" top="0.75" bottom="0.75" header="0.3" footer="0.3"/>
  <pageSetup paperSize="9" scale="8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HỘI CHỢ CV DƯƠNG ĐÌNH NGHỆ</vt:lpstr>
      <vt:lpstr>Hàng ăn thử</vt:lpstr>
      <vt:lpstr>Chi</vt:lpstr>
      <vt:lpstr>Chi!Print_Area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2024-10-01T01:36:00Z</cp:lastPrinted>
  <dcterms:created xsi:type="dcterms:W3CDTF">2024-09-28T05:45:00Z</dcterms:created>
  <dcterms:modified xsi:type="dcterms:W3CDTF">2024-12-25T09:10:27Z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AE5E5C905D0A460A88CEA17F41F01254_13</vt:lpwstr>
  </property>
  <property fmtid="{D5CDD505-2E9C-101B-9397-08002B2CF9AE}" pid="3" name="KSOProductBuildVer">
    <vt:lpwstr>1033-12.2.0.19307</vt:lpwstr>
  </property>
</Properties>
</file>